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0" yWindow="2130" windowWidth="15120" windowHeight="8700"/>
  </bookViews>
  <sheets>
    <sheet name="Daten" sheetId="4" r:id="rId1"/>
    <sheet name="Auswerteblatt" sheetId="2" r:id="rId2"/>
    <sheet name="LN-Transfer" sheetId="3" state="hidden" r:id="rId3"/>
    <sheet name="Lebensdauernetz" sheetId="1" r:id="rId4"/>
    <sheet name="R(t) Cpk VB" sheetId="5" r:id="rId5"/>
  </sheets>
  <definedNames>
    <definedName name="_xlnm.Print_Area" localSheetId="1">Auswerteblatt!$B$1:$J$47</definedName>
    <definedName name="solver_adj" localSheetId="1" hidden="1">Auswerteblatt!$D$17</definedName>
    <definedName name="solver_cvg" localSheetId="1" hidden="1">0.001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1000</definedName>
    <definedName name="solver_lhs1" localSheetId="1" hidden="1">Auswerteblatt!$D$17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Auswerteblatt!$L$6</definedName>
    <definedName name="solver_pre" localSheetId="1" hidden="1">0.0000001</definedName>
    <definedName name="solver_rbv" localSheetId="1" hidden="1">2</definedName>
    <definedName name="solver_rel1" localSheetId="1" hidden="1">1</definedName>
    <definedName name="solver_rhs1" localSheetId="1" hidden="1">Auswerteblatt!$C$17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C5" i="5" s="1"/>
  <c r="C79" i="5" s="1"/>
  <c r="H5" i="2"/>
  <c r="H6" i="2"/>
  <c r="H7" i="2"/>
  <c r="H8" i="2"/>
  <c r="H9" i="2"/>
  <c r="H10" i="2"/>
  <c r="H11" i="2"/>
  <c r="G17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C36" i="2"/>
  <c r="C37" i="2"/>
  <c r="C38" i="2"/>
  <c r="C39" i="2"/>
  <c r="C40" i="2"/>
  <c r="C41" i="2"/>
  <c r="C42" i="2"/>
  <c r="C43" i="2"/>
  <c r="J43" i="2" s="1"/>
  <c r="C44" i="2"/>
  <c r="J44" i="2" s="1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J61" i="2" s="1"/>
  <c r="C62" i="2"/>
  <c r="J62" i="2" s="1"/>
  <c r="C63" i="2"/>
  <c r="C64" i="2"/>
  <c r="C65" i="2"/>
  <c r="J65" i="2" s="1"/>
  <c r="C66" i="2"/>
  <c r="C67" i="2"/>
  <c r="C68" i="2"/>
  <c r="C69" i="2"/>
  <c r="C70" i="2"/>
  <c r="C71" i="2"/>
  <c r="C72" i="2"/>
  <c r="C73" i="2"/>
  <c r="J73" i="2" s="1"/>
  <c r="C74" i="2"/>
  <c r="C75" i="2"/>
  <c r="C76" i="2"/>
  <c r="C77" i="2"/>
  <c r="J77" i="2" s="1"/>
  <c r="C78" i="2"/>
  <c r="C79" i="2"/>
  <c r="C80" i="2"/>
  <c r="J80" i="2" s="1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J104" i="2" s="1"/>
  <c r="C105" i="2"/>
  <c r="C106" i="2"/>
  <c r="J106" i="2" s="1"/>
  <c r="C107" i="2"/>
  <c r="C108" i="2"/>
  <c r="C109" i="2"/>
  <c r="C110" i="2"/>
  <c r="C111" i="2"/>
  <c r="C112" i="2"/>
  <c r="J112" i="2" s="1"/>
  <c r="C113" i="2"/>
  <c r="C114" i="2"/>
  <c r="C115" i="2"/>
  <c r="C116" i="2"/>
  <c r="C117" i="2"/>
  <c r="B7" i="4"/>
  <c r="D41" i="4" s="1"/>
  <c r="B8" i="4"/>
  <c r="B11" i="4"/>
  <c r="Z16" i="4"/>
  <c r="Z17" i="4"/>
  <c r="Z18" i="4"/>
  <c r="Z19" i="4"/>
  <c r="Z20" i="4"/>
  <c r="Z21" i="4"/>
  <c r="Z22" i="4"/>
  <c r="Z23" i="4"/>
  <c r="Z24" i="4"/>
  <c r="Z25" i="4"/>
  <c r="B2" i="3"/>
  <c r="E12" i="3"/>
  <c r="E13" i="3"/>
  <c r="F13" i="3"/>
  <c r="E14" i="3"/>
  <c r="E15" i="3"/>
  <c r="F15" i="3"/>
  <c r="G20" i="3"/>
  <c r="H20" i="3" s="1"/>
  <c r="M20" i="3"/>
  <c r="P20" i="3"/>
  <c r="G21" i="3"/>
  <c r="H21" i="3" s="1"/>
  <c r="I21" i="3"/>
  <c r="I22" i="3" s="1"/>
  <c r="I23" i="3" s="1"/>
  <c r="I24" i="3" s="1"/>
  <c r="I25" i="3" s="1"/>
  <c r="I26" i="3" s="1"/>
  <c r="I27" i="3" s="1"/>
  <c r="I28" i="3" s="1"/>
  <c r="P21" i="3"/>
  <c r="G22" i="3"/>
  <c r="H22" i="3" s="1"/>
  <c r="P22" i="3"/>
  <c r="G23" i="3"/>
  <c r="H23" i="3" s="1"/>
  <c r="P23" i="3"/>
  <c r="G24" i="3"/>
  <c r="H24" i="3" s="1"/>
  <c r="M24" i="3"/>
  <c r="P24" i="3"/>
  <c r="G25" i="3"/>
  <c r="H25" i="3" s="1"/>
  <c r="P25" i="3"/>
  <c r="G26" i="3"/>
  <c r="H26" i="3" s="1"/>
  <c r="P26" i="3"/>
  <c r="G27" i="3"/>
  <c r="H27" i="3" s="1"/>
  <c r="M27" i="3"/>
  <c r="P27" i="3"/>
  <c r="G28" i="3"/>
  <c r="H28" i="3" s="1"/>
  <c r="M28" i="3"/>
  <c r="P28" i="3"/>
  <c r="G29" i="3"/>
  <c r="H29" i="3" s="1"/>
  <c r="I29" i="3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P29" i="3"/>
  <c r="G30" i="3"/>
  <c r="H30" i="3" s="1"/>
  <c r="P30" i="3"/>
  <c r="G31" i="3"/>
  <c r="H31" i="3" s="1"/>
  <c r="M31" i="3"/>
  <c r="P31" i="3"/>
  <c r="G32" i="3"/>
  <c r="H32" i="3" s="1"/>
  <c r="P32" i="3"/>
  <c r="G33" i="3"/>
  <c r="H33" i="3"/>
  <c r="P33" i="3"/>
  <c r="F34" i="3"/>
  <c r="G34" i="3"/>
  <c r="H34" i="3" s="1"/>
  <c r="P34" i="3"/>
  <c r="G35" i="3"/>
  <c r="H35" i="3" s="1"/>
  <c r="P35" i="3"/>
  <c r="G36" i="3"/>
  <c r="H36" i="3" s="1"/>
  <c r="P36" i="3"/>
  <c r="G37" i="3"/>
  <c r="H37" i="3" s="1"/>
  <c r="P37" i="3"/>
  <c r="G38" i="3"/>
  <c r="H38" i="3"/>
  <c r="P38" i="3"/>
  <c r="G39" i="3"/>
  <c r="H39" i="3" s="1"/>
  <c r="M33" i="3" s="1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D11" i="5"/>
  <c r="D19" i="5"/>
  <c r="D37" i="5"/>
  <c r="D43" i="5"/>
  <c r="D45" i="5"/>
  <c r="D47" i="5"/>
  <c r="F74" i="5"/>
  <c r="G114" i="2" l="1"/>
  <c r="J114" i="2"/>
  <c r="D102" i="2"/>
  <c r="M102" i="2" s="1"/>
  <c r="J102" i="2"/>
  <c r="H86" i="2"/>
  <c r="J86" i="2"/>
  <c r="L75" i="2"/>
  <c r="N75" i="2" s="1"/>
  <c r="J75" i="2"/>
  <c r="I63" i="2"/>
  <c r="J63" i="2"/>
  <c r="L51" i="2"/>
  <c r="N51" i="2" s="1"/>
  <c r="J51" i="2"/>
  <c r="I117" i="2"/>
  <c r="J117" i="2"/>
  <c r="I113" i="2"/>
  <c r="J113" i="2"/>
  <c r="I109" i="2"/>
  <c r="J109" i="2"/>
  <c r="I105" i="2"/>
  <c r="J105" i="2"/>
  <c r="D101" i="2"/>
  <c r="M101" i="2" s="1"/>
  <c r="J101" i="2"/>
  <c r="G97" i="2"/>
  <c r="J97" i="2"/>
  <c r="H93" i="2"/>
  <c r="J93" i="2"/>
  <c r="G89" i="2"/>
  <c r="J89" i="2"/>
  <c r="D85" i="2"/>
  <c r="M85" i="2" s="1"/>
  <c r="J85" i="2"/>
  <c r="G74" i="2"/>
  <c r="J74" i="2"/>
  <c r="G70" i="2"/>
  <c r="J70" i="2"/>
  <c r="G66" i="2"/>
  <c r="J66" i="2"/>
  <c r="G58" i="2"/>
  <c r="J58" i="2"/>
  <c r="G54" i="2"/>
  <c r="J54" i="2"/>
  <c r="I50" i="2"/>
  <c r="J50" i="2"/>
  <c r="L46" i="2"/>
  <c r="N46" i="2" s="1"/>
  <c r="J46" i="2"/>
  <c r="G41" i="2"/>
  <c r="J41" i="2"/>
  <c r="L39" i="2"/>
  <c r="N39" i="2" s="1"/>
  <c r="J39" i="2"/>
  <c r="L37" i="2"/>
  <c r="N37" i="2" s="1"/>
  <c r="J37" i="2"/>
  <c r="I94" i="2"/>
  <c r="J94" i="2"/>
  <c r="G83" i="2"/>
  <c r="J83" i="2"/>
  <c r="G78" i="2"/>
  <c r="J78" i="2"/>
  <c r="L67" i="2"/>
  <c r="N67" i="2" s="1"/>
  <c r="J67" i="2"/>
  <c r="L55" i="2"/>
  <c r="N55" i="2" s="1"/>
  <c r="J55" i="2"/>
  <c r="L47" i="2"/>
  <c r="N47" i="2" s="1"/>
  <c r="J47" i="2"/>
  <c r="G116" i="2"/>
  <c r="J116" i="2"/>
  <c r="G108" i="2"/>
  <c r="J108" i="2"/>
  <c r="I100" i="2"/>
  <c r="J100" i="2"/>
  <c r="G96" i="2"/>
  <c r="J96" i="2"/>
  <c r="D92" i="2"/>
  <c r="M92" i="2" s="1"/>
  <c r="J92" i="2"/>
  <c r="G88" i="2"/>
  <c r="J88" i="2"/>
  <c r="D84" i="2"/>
  <c r="M84" i="2" s="1"/>
  <c r="J84" i="2"/>
  <c r="G82" i="2"/>
  <c r="J82" i="2"/>
  <c r="L69" i="2"/>
  <c r="N69" i="2" s="1"/>
  <c r="J69" i="2"/>
  <c r="L57" i="2"/>
  <c r="N57" i="2" s="1"/>
  <c r="J57" i="2"/>
  <c r="L53" i="2"/>
  <c r="N53" i="2" s="1"/>
  <c r="J53" i="2"/>
  <c r="L49" i="2"/>
  <c r="N49" i="2" s="1"/>
  <c r="J49" i="2"/>
  <c r="D45" i="2"/>
  <c r="M45" i="2" s="1"/>
  <c r="J45" i="2"/>
  <c r="G110" i="2"/>
  <c r="J110" i="2"/>
  <c r="G98" i="2"/>
  <c r="J98" i="2"/>
  <c r="G90" i="2"/>
  <c r="J90" i="2"/>
  <c r="L81" i="2"/>
  <c r="N81" i="2" s="1"/>
  <c r="J81" i="2"/>
  <c r="L71" i="2"/>
  <c r="N71" i="2" s="1"/>
  <c r="J71" i="2"/>
  <c r="L59" i="2"/>
  <c r="N59" i="2" s="1"/>
  <c r="J59" i="2"/>
  <c r="I115" i="2"/>
  <c r="J115" i="2"/>
  <c r="I111" i="2"/>
  <c r="J111" i="2"/>
  <c r="I107" i="2"/>
  <c r="J107" i="2"/>
  <c r="I103" i="2"/>
  <c r="J103" i="2"/>
  <c r="G99" i="2"/>
  <c r="J99" i="2"/>
  <c r="G95" i="2"/>
  <c r="J95" i="2"/>
  <c r="G91" i="2"/>
  <c r="J91" i="2"/>
  <c r="I87" i="2"/>
  <c r="J87" i="2"/>
  <c r="I79" i="2"/>
  <c r="J79" i="2"/>
  <c r="I76" i="2"/>
  <c r="J76" i="2"/>
  <c r="G72" i="2"/>
  <c r="J72" i="2"/>
  <c r="G68" i="2"/>
  <c r="J68" i="2"/>
  <c r="G64" i="2"/>
  <c r="J64" i="2"/>
  <c r="L60" i="2"/>
  <c r="N60" i="2" s="1"/>
  <c r="J60" i="2"/>
  <c r="L56" i="2"/>
  <c r="N56" i="2" s="1"/>
  <c r="J56" i="2"/>
  <c r="G52" i="2"/>
  <c r="J52" i="2"/>
  <c r="G48" i="2"/>
  <c r="J48" i="2"/>
  <c r="G42" i="2"/>
  <c r="J42" i="2"/>
  <c r="L40" i="2"/>
  <c r="N40" i="2" s="1"/>
  <c r="J40" i="2"/>
  <c r="I38" i="2"/>
  <c r="J38" i="2"/>
  <c r="I36" i="2"/>
  <c r="J36" i="2"/>
  <c r="C78" i="5"/>
  <c r="D97" i="2"/>
  <c r="M97" i="2" s="1"/>
  <c r="L105" i="2"/>
  <c r="N105" i="2" s="1"/>
  <c r="I102" i="2"/>
  <c r="G104" i="2"/>
  <c r="G101" i="2"/>
  <c r="L92" i="2"/>
  <c r="N92" i="2" s="1"/>
  <c r="L117" i="2"/>
  <c r="N117" i="2" s="1"/>
  <c r="D115" i="2"/>
  <c r="M115" i="2" s="1"/>
  <c r="D105" i="2"/>
  <c r="M105" i="2" s="1"/>
  <c r="G103" i="2"/>
  <c r="L101" i="2"/>
  <c r="N101" i="2" s="1"/>
  <c r="D94" i="2"/>
  <c r="M94" i="2" s="1"/>
  <c r="G92" i="2"/>
  <c r="G87" i="2"/>
  <c r="I84" i="2"/>
  <c r="D83" i="2"/>
  <c r="M83" i="2" s="1"/>
  <c r="H79" i="2"/>
  <c r="L62" i="2"/>
  <c r="N62" i="2" s="1"/>
  <c r="D117" i="2"/>
  <c r="M117" i="2" s="1"/>
  <c r="H101" i="2"/>
  <c r="D100" i="2"/>
  <c r="M100" i="2" s="1"/>
  <c r="L72" i="2"/>
  <c r="N72" i="2" s="1"/>
  <c r="I96" i="2"/>
  <c r="L95" i="2"/>
  <c r="N95" i="2" s="1"/>
  <c r="L85" i="2"/>
  <c r="N85" i="2" s="1"/>
  <c r="H105" i="2"/>
  <c r="I98" i="2"/>
  <c r="H96" i="2"/>
  <c r="I95" i="2"/>
  <c r="H85" i="2"/>
  <c r="G105" i="2"/>
  <c r="I99" i="2"/>
  <c r="H98" i="2"/>
  <c r="D96" i="2"/>
  <c r="M96" i="2" s="1"/>
  <c r="G85" i="2"/>
  <c r="L36" i="2"/>
  <c r="N36" i="2" s="1"/>
  <c r="I60" i="2"/>
  <c r="G113" i="2"/>
  <c r="H100" i="2"/>
  <c r="I92" i="2"/>
  <c r="L91" i="2"/>
  <c r="N91" i="2" s="1"/>
  <c r="I90" i="2"/>
  <c r="I88" i="2"/>
  <c r="H84" i="2"/>
  <c r="L52" i="2"/>
  <c r="N52" i="2" s="1"/>
  <c r="L45" i="2"/>
  <c r="N45" i="2" s="1"/>
  <c r="H113" i="2"/>
  <c r="L107" i="2"/>
  <c r="N107" i="2" s="1"/>
  <c r="G117" i="2"/>
  <c r="L115" i="2"/>
  <c r="N115" i="2" s="1"/>
  <c r="L113" i="2"/>
  <c r="N113" i="2" s="1"/>
  <c r="D113" i="2"/>
  <c r="M113" i="2" s="1"/>
  <c r="H107" i="2"/>
  <c r="I101" i="2"/>
  <c r="L100" i="2"/>
  <c r="N100" i="2" s="1"/>
  <c r="G100" i="2"/>
  <c r="I93" i="2"/>
  <c r="H92" i="2"/>
  <c r="I91" i="2"/>
  <c r="H90" i="2"/>
  <c r="D89" i="2"/>
  <c r="M89" i="2" s="1"/>
  <c r="H88" i="2"/>
  <c r="I85" i="2"/>
  <c r="L84" i="2"/>
  <c r="N84" i="2" s="1"/>
  <c r="G84" i="2"/>
  <c r="H76" i="2"/>
  <c r="L74" i="2"/>
  <c r="N74" i="2" s="1"/>
  <c r="I52" i="2"/>
  <c r="I46" i="2"/>
  <c r="I45" i="2"/>
  <c r="I44" i="2"/>
  <c r="L42" i="2"/>
  <c r="N42" i="2" s="1"/>
  <c r="D88" i="2"/>
  <c r="M88" i="2" s="1"/>
  <c r="I86" i="2"/>
  <c r="G76" i="2"/>
  <c r="G45" i="2"/>
  <c r="D101" i="4"/>
  <c r="E103" i="2" s="1"/>
  <c r="D87" i="4"/>
  <c r="E89" i="2" s="1"/>
  <c r="D37" i="4"/>
  <c r="D113" i="4"/>
  <c r="E115" i="2" s="1"/>
  <c r="D99" i="4"/>
  <c r="E101" i="2" s="1"/>
  <c r="D85" i="4"/>
  <c r="E87" i="2" s="1"/>
  <c r="D53" i="4"/>
  <c r="D33" i="4"/>
  <c r="D24" i="4"/>
  <c r="E26" i="2" s="1"/>
  <c r="H109" i="2"/>
  <c r="H102" i="2"/>
  <c r="D111" i="4"/>
  <c r="E111" i="4" s="1"/>
  <c r="F113" i="2" s="1"/>
  <c r="D105" i="4"/>
  <c r="E107" i="2" s="1"/>
  <c r="D98" i="4"/>
  <c r="D90" i="4"/>
  <c r="E90" i="4" s="1"/>
  <c r="F92" i="2" s="1"/>
  <c r="D83" i="4"/>
  <c r="E85" i="2" s="1"/>
  <c r="D77" i="4"/>
  <c r="E79" i="2" s="1"/>
  <c r="D69" i="4"/>
  <c r="D49" i="4"/>
  <c r="E51" i="2" s="1"/>
  <c r="D29" i="4"/>
  <c r="H111" i="2"/>
  <c r="G109" i="2"/>
  <c r="D107" i="2"/>
  <c r="M107" i="2" s="1"/>
  <c r="L103" i="2"/>
  <c r="N103" i="2" s="1"/>
  <c r="L102" i="2"/>
  <c r="N102" i="2" s="1"/>
  <c r="G102" i="2"/>
  <c r="D98" i="2"/>
  <c r="M98" i="2" s="1"/>
  <c r="I97" i="2"/>
  <c r="H94" i="2"/>
  <c r="L93" i="2"/>
  <c r="N93" i="2" s="1"/>
  <c r="G93" i="2"/>
  <c r="D90" i="2"/>
  <c r="M90" i="2" s="1"/>
  <c r="I89" i="2"/>
  <c r="L86" i="2"/>
  <c r="N86" i="2" s="1"/>
  <c r="G86" i="2"/>
  <c r="I83" i="2"/>
  <c r="D76" i="2"/>
  <c r="M76" i="2" s="1"/>
  <c r="G62" i="2"/>
  <c r="I56" i="2"/>
  <c r="L50" i="2"/>
  <c r="N50" i="2" s="1"/>
  <c r="L43" i="2"/>
  <c r="N43" i="2" s="1"/>
  <c r="D109" i="4"/>
  <c r="E111" i="2" s="1"/>
  <c r="D79" i="4"/>
  <c r="E81" i="2" s="1"/>
  <c r="D106" i="4"/>
  <c r="E106" i="4" s="1"/>
  <c r="F108" i="2" s="1"/>
  <c r="D93" i="4"/>
  <c r="E95" i="2" s="1"/>
  <c r="D71" i="4"/>
  <c r="E73" i="2" s="1"/>
  <c r="D115" i="4"/>
  <c r="E117" i="2" s="1"/>
  <c r="D110" i="4"/>
  <c r="E110" i="4" s="1"/>
  <c r="F112" i="2" s="1"/>
  <c r="D103" i="4"/>
  <c r="E105" i="2" s="1"/>
  <c r="D95" i="4"/>
  <c r="E97" i="2" s="1"/>
  <c r="D89" i="4"/>
  <c r="E91" i="2" s="1"/>
  <c r="D82" i="4"/>
  <c r="E82" i="4" s="1"/>
  <c r="F84" i="2" s="1"/>
  <c r="D74" i="4"/>
  <c r="E74" i="4" s="1"/>
  <c r="F76" i="2" s="1"/>
  <c r="D65" i="4"/>
  <c r="E67" i="2" s="1"/>
  <c r="D45" i="4"/>
  <c r="E45" i="4" s="1"/>
  <c r="F47" i="2" s="1"/>
  <c r="H117" i="2"/>
  <c r="H115" i="2"/>
  <c r="D111" i="2"/>
  <c r="M111" i="2" s="1"/>
  <c r="L109" i="2"/>
  <c r="N109" i="2" s="1"/>
  <c r="D109" i="2"/>
  <c r="M109" i="2" s="1"/>
  <c r="L99" i="2"/>
  <c r="N99" i="2" s="1"/>
  <c r="H97" i="2"/>
  <c r="L94" i="2"/>
  <c r="N94" i="2" s="1"/>
  <c r="G94" i="2"/>
  <c r="D93" i="2"/>
  <c r="M93" i="2" s="1"/>
  <c r="H89" i="2"/>
  <c r="D86" i="2"/>
  <c r="M86" i="2" s="1"/>
  <c r="H83" i="2"/>
  <c r="I82" i="2"/>
  <c r="G63" i="2"/>
  <c r="G50" i="2"/>
  <c r="I43" i="2"/>
  <c r="I40" i="2"/>
  <c r="D114" i="4"/>
  <c r="E116" i="2" s="1"/>
  <c r="D94" i="4"/>
  <c r="E96" i="2" s="1"/>
  <c r="D73" i="4"/>
  <c r="E75" i="2" s="1"/>
  <c r="D61" i="4"/>
  <c r="E61" i="4" s="1"/>
  <c r="F63" i="2" s="1"/>
  <c r="L111" i="2"/>
  <c r="N111" i="2" s="1"/>
  <c r="D78" i="4"/>
  <c r="E80" i="2" s="1"/>
  <c r="L63" i="2"/>
  <c r="N63" i="2" s="1"/>
  <c r="I112" i="2"/>
  <c r="H112" i="2"/>
  <c r="D112" i="2"/>
  <c r="M112" i="2" s="1"/>
  <c r="L112" i="2"/>
  <c r="N112" i="2" s="1"/>
  <c r="I106" i="2"/>
  <c r="D106" i="2"/>
  <c r="M106" i="2" s="1"/>
  <c r="L106" i="2"/>
  <c r="N106" i="2" s="1"/>
  <c r="H106" i="2"/>
  <c r="D81" i="2"/>
  <c r="M81" i="2" s="1"/>
  <c r="H81" i="2"/>
  <c r="I116" i="2"/>
  <c r="H116" i="2"/>
  <c r="D116" i="2"/>
  <c r="M116" i="2" s="1"/>
  <c r="L116" i="2"/>
  <c r="N116" i="2" s="1"/>
  <c r="I110" i="2"/>
  <c r="D110" i="2"/>
  <c r="M110" i="2" s="1"/>
  <c r="L110" i="2"/>
  <c r="N110" i="2" s="1"/>
  <c r="H110" i="2"/>
  <c r="D112" i="4"/>
  <c r="E114" i="2" s="1"/>
  <c r="D107" i="4"/>
  <c r="E109" i="2" s="1"/>
  <c r="D102" i="4"/>
  <c r="E104" i="2" s="1"/>
  <c r="D97" i="4"/>
  <c r="E99" i="2" s="1"/>
  <c r="D91" i="4"/>
  <c r="E93" i="2" s="1"/>
  <c r="D86" i="4"/>
  <c r="E86" i="4" s="1"/>
  <c r="F88" i="2" s="1"/>
  <c r="D81" i="4"/>
  <c r="E83" i="2" s="1"/>
  <c r="D75" i="4"/>
  <c r="E77" i="2" s="1"/>
  <c r="D70" i="4"/>
  <c r="E72" i="2" s="1"/>
  <c r="D57" i="4"/>
  <c r="E59" i="2" s="1"/>
  <c r="I114" i="2"/>
  <c r="D114" i="2"/>
  <c r="M114" i="2" s="1"/>
  <c r="L114" i="2"/>
  <c r="N114" i="2" s="1"/>
  <c r="H114" i="2"/>
  <c r="I104" i="2"/>
  <c r="H104" i="2"/>
  <c r="D104" i="2"/>
  <c r="M104" i="2" s="1"/>
  <c r="L104" i="2"/>
  <c r="N104" i="2" s="1"/>
  <c r="H103" i="2"/>
  <c r="D103" i="2"/>
  <c r="M103" i="2" s="1"/>
  <c r="H95" i="2"/>
  <c r="D95" i="2"/>
  <c r="M95" i="2" s="1"/>
  <c r="H87" i="2"/>
  <c r="D87" i="2"/>
  <c r="M87" i="2" s="1"/>
  <c r="H82" i="2"/>
  <c r="D82" i="2"/>
  <c r="M82" i="2" s="1"/>
  <c r="I81" i="2"/>
  <c r="I78" i="2"/>
  <c r="D78" i="2"/>
  <c r="M78" i="2" s="1"/>
  <c r="L78" i="2"/>
  <c r="N78" i="2" s="1"/>
  <c r="H78" i="2"/>
  <c r="I80" i="2"/>
  <c r="H80" i="2"/>
  <c r="D80" i="2"/>
  <c r="M80" i="2" s="1"/>
  <c r="D27" i="4"/>
  <c r="D22" i="4"/>
  <c r="E24" i="2" s="1"/>
  <c r="D30" i="4"/>
  <c r="D38" i="4"/>
  <c r="E38" i="4" s="1"/>
  <c r="F40" i="2" s="1"/>
  <c r="D46" i="4"/>
  <c r="E48" i="2" s="1"/>
  <c r="D54" i="4"/>
  <c r="E56" i="2" s="1"/>
  <c r="D62" i="4"/>
  <c r="E64" i="2" s="1"/>
  <c r="D26" i="4"/>
  <c r="D34" i="4"/>
  <c r="E34" i="4" s="1"/>
  <c r="F36" i="2" s="1"/>
  <c r="D42" i="4"/>
  <c r="E44" i="2" s="1"/>
  <c r="D50" i="4"/>
  <c r="E52" i="2" s="1"/>
  <c r="D58" i="4"/>
  <c r="E58" i="4" s="1"/>
  <c r="F60" i="2" s="1"/>
  <c r="D66" i="4"/>
  <c r="E68" i="2" s="1"/>
  <c r="G112" i="2"/>
  <c r="I108" i="2"/>
  <c r="H108" i="2"/>
  <c r="D108" i="2"/>
  <c r="M108" i="2" s="1"/>
  <c r="L108" i="2"/>
  <c r="N108" i="2" s="1"/>
  <c r="G106" i="2"/>
  <c r="D99" i="2"/>
  <c r="M99" i="2" s="1"/>
  <c r="H99" i="2"/>
  <c r="D91" i="2"/>
  <c r="M91" i="2" s="1"/>
  <c r="H91" i="2"/>
  <c r="L87" i="2"/>
  <c r="N87" i="2" s="1"/>
  <c r="L82" i="2"/>
  <c r="N82" i="2" s="1"/>
  <c r="G81" i="2"/>
  <c r="G80" i="2"/>
  <c r="G60" i="2"/>
  <c r="L58" i="2"/>
  <c r="N58" i="2" s="1"/>
  <c r="G56" i="2"/>
  <c r="L54" i="2"/>
  <c r="N54" i="2" s="1"/>
  <c r="L48" i="2"/>
  <c r="N48" i="2" s="1"/>
  <c r="G46" i="2"/>
  <c r="G43" i="2"/>
  <c r="G38" i="2"/>
  <c r="G37" i="2"/>
  <c r="L70" i="2"/>
  <c r="N70" i="2" s="1"/>
  <c r="L68" i="2"/>
  <c r="N68" i="2" s="1"/>
  <c r="L66" i="2"/>
  <c r="N66" i="2" s="1"/>
  <c r="L64" i="2"/>
  <c r="N64" i="2" s="1"/>
  <c r="I58" i="2"/>
  <c r="I54" i="2"/>
  <c r="I48" i="2"/>
  <c r="I42" i="2"/>
  <c r="L41" i="2"/>
  <c r="N41" i="2" s="1"/>
  <c r="G115" i="2"/>
  <c r="G111" i="2"/>
  <c r="G107" i="2"/>
  <c r="L98" i="2"/>
  <c r="N98" i="2" s="1"/>
  <c r="L97" i="2"/>
  <c r="N97" i="2" s="1"/>
  <c r="L96" i="2"/>
  <c r="N96" i="2" s="1"/>
  <c r="L90" i="2"/>
  <c r="N90" i="2" s="1"/>
  <c r="L89" i="2"/>
  <c r="N89" i="2" s="1"/>
  <c r="L88" i="2"/>
  <c r="N88" i="2" s="1"/>
  <c r="L83" i="2"/>
  <c r="N83" i="2" s="1"/>
  <c r="L79" i="2"/>
  <c r="N79" i="2" s="1"/>
  <c r="I62" i="2"/>
  <c r="H45" i="2"/>
  <c r="L44" i="2"/>
  <c r="N44" i="2" s="1"/>
  <c r="L38" i="2"/>
  <c r="N38" i="2" s="1"/>
  <c r="E40" i="2"/>
  <c r="E98" i="4"/>
  <c r="F100" i="2" s="1"/>
  <c r="E100" i="2"/>
  <c r="E84" i="2"/>
  <c r="E71" i="2"/>
  <c r="E69" i="4"/>
  <c r="F71" i="2" s="1"/>
  <c r="E65" i="4"/>
  <c r="F67" i="2" s="1"/>
  <c r="E55" i="2"/>
  <c r="E53" i="4"/>
  <c r="F55" i="2" s="1"/>
  <c r="E43" i="2"/>
  <c r="E41" i="4"/>
  <c r="F43" i="2" s="1"/>
  <c r="E39" i="2"/>
  <c r="E37" i="4"/>
  <c r="F39" i="2" s="1"/>
  <c r="I77" i="2"/>
  <c r="D77" i="2"/>
  <c r="M77" i="2" s="1"/>
  <c r="L77" i="2"/>
  <c r="N77" i="2" s="1"/>
  <c r="G77" i="2"/>
  <c r="D73" i="2"/>
  <c r="M73" i="2" s="1"/>
  <c r="H73" i="2"/>
  <c r="I73" i="2"/>
  <c r="G73" i="2"/>
  <c r="D65" i="2"/>
  <c r="M65" i="2" s="1"/>
  <c r="H65" i="2"/>
  <c r="I65" i="2"/>
  <c r="G65" i="2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C34" i="2" s="1"/>
  <c r="D28" i="4"/>
  <c r="C30" i="2" s="1"/>
  <c r="D18" i="4"/>
  <c r="D71" i="2"/>
  <c r="M71" i="2" s="1"/>
  <c r="H71" i="2"/>
  <c r="I71" i="2"/>
  <c r="G71" i="2"/>
  <c r="E95" i="4"/>
  <c r="F97" i="2" s="1"/>
  <c r="D67" i="4"/>
  <c r="D63" i="4"/>
  <c r="D59" i="4"/>
  <c r="D55" i="4"/>
  <c r="D51" i="4"/>
  <c r="D47" i="4"/>
  <c r="D43" i="4"/>
  <c r="D39" i="4"/>
  <c r="D35" i="4"/>
  <c r="D31" i="4"/>
  <c r="C33" i="2" s="1"/>
  <c r="D69" i="2"/>
  <c r="M69" i="2" s="1"/>
  <c r="H69" i="2"/>
  <c r="I69" i="2"/>
  <c r="G69" i="2"/>
  <c r="D61" i="2"/>
  <c r="M61" i="2" s="1"/>
  <c r="H61" i="2"/>
  <c r="G61" i="2"/>
  <c r="I61" i="2"/>
  <c r="L61" i="2"/>
  <c r="N61" i="2" s="1"/>
  <c r="D17" i="4"/>
  <c r="D21" i="4"/>
  <c r="D25" i="4"/>
  <c r="B9" i="4"/>
  <c r="B12" i="4" s="1"/>
  <c r="D16" i="4"/>
  <c r="D20" i="4"/>
  <c r="D19" i="4"/>
  <c r="D23" i="4"/>
  <c r="H77" i="2"/>
  <c r="D75" i="2"/>
  <c r="M75" i="2" s="1"/>
  <c r="H75" i="2"/>
  <c r="I75" i="2"/>
  <c r="G75" i="2"/>
  <c r="L73" i="2"/>
  <c r="N73" i="2" s="1"/>
  <c r="D67" i="2"/>
  <c r="M67" i="2" s="1"/>
  <c r="H67" i="2"/>
  <c r="I67" i="2"/>
  <c r="G67" i="2"/>
  <c r="L65" i="2"/>
  <c r="N65" i="2" s="1"/>
  <c r="D79" i="2"/>
  <c r="M79" i="2" s="1"/>
  <c r="D74" i="2"/>
  <c r="M74" i="2" s="1"/>
  <c r="H74" i="2"/>
  <c r="I74" i="2"/>
  <c r="D72" i="2"/>
  <c r="M72" i="2" s="1"/>
  <c r="H72" i="2"/>
  <c r="I72" i="2"/>
  <c r="D70" i="2"/>
  <c r="M70" i="2" s="1"/>
  <c r="H70" i="2"/>
  <c r="I70" i="2"/>
  <c r="D68" i="2"/>
  <c r="M68" i="2" s="1"/>
  <c r="H68" i="2"/>
  <c r="I68" i="2"/>
  <c r="D66" i="2"/>
  <c r="M66" i="2" s="1"/>
  <c r="H66" i="2"/>
  <c r="I66" i="2"/>
  <c r="D64" i="2"/>
  <c r="M64" i="2" s="1"/>
  <c r="H64" i="2"/>
  <c r="I64" i="2"/>
  <c r="L80" i="2"/>
  <c r="N80" i="2" s="1"/>
  <c r="G79" i="2"/>
  <c r="L76" i="2"/>
  <c r="N76" i="2" s="1"/>
  <c r="D59" i="2"/>
  <c r="M59" i="2" s="1"/>
  <c r="H59" i="2"/>
  <c r="D57" i="2"/>
  <c r="M57" i="2" s="1"/>
  <c r="H57" i="2"/>
  <c r="D55" i="2"/>
  <c r="M55" i="2" s="1"/>
  <c r="H55" i="2"/>
  <c r="D53" i="2"/>
  <c r="M53" i="2" s="1"/>
  <c r="H53" i="2"/>
  <c r="D51" i="2"/>
  <c r="M51" i="2" s="1"/>
  <c r="H51" i="2"/>
  <c r="D49" i="2"/>
  <c r="M49" i="2" s="1"/>
  <c r="H49" i="2"/>
  <c r="D47" i="2"/>
  <c r="M47" i="2" s="1"/>
  <c r="H47" i="2"/>
  <c r="D39" i="2"/>
  <c r="M39" i="2" s="1"/>
  <c r="H39" i="2"/>
  <c r="G39" i="2"/>
  <c r="I39" i="2"/>
  <c r="D63" i="2"/>
  <c r="M63" i="2" s="1"/>
  <c r="H63" i="2"/>
  <c r="I59" i="2"/>
  <c r="I57" i="2"/>
  <c r="I55" i="2"/>
  <c r="I53" i="2"/>
  <c r="I51" i="2"/>
  <c r="I49" i="2"/>
  <c r="I47" i="2"/>
  <c r="D62" i="2"/>
  <c r="M62" i="2" s="1"/>
  <c r="H62" i="2"/>
  <c r="D60" i="2"/>
  <c r="M60" i="2" s="1"/>
  <c r="H60" i="2"/>
  <c r="G59" i="2"/>
  <c r="D58" i="2"/>
  <c r="M58" i="2" s="1"/>
  <c r="H58" i="2"/>
  <c r="G57" i="2"/>
  <c r="D56" i="2"/>
  <c r="M56" i="2" s="1"/>
  <c r="H56" i="2"/>
  <c r="G55" i="2"/>
  <c r="D54" i="2"/>
  <c r="M54" i="2" s="1"/>
  <c r="H54" i="2"/>
  <c r="G53" i="2"/>
  <c r="D52" i="2"/>
  <c r="M52" i="2" s="1"/>
  <c r="H52" i="2"/>
  <c r="G51" i="2"/>
  <c r="D50" i="2"/>
  <c r="M50" i="2" s="1"/>
  <c r="H50" i="2"/>
  <c r="G49" i="2"/>
  <c r="D48" i="2"/>
  <c r="M48" i="2" s="1"/>
  <c r="H48" i="2"/>
  <c r="G47" i="2"/>
  <c r="D46" i="2"/>
  <c r="M46" i="2" s="1"/>
  <c r="H46" i="2"/>
  <c r="D40" i="2"/>
  <c r="M40" i="2" s="1"/>
  <c r="H40" i="2"/>
  <c r="D36" i="2"/>
  <c r="M36" i="2" s="1"/>
  <c r="H36" i="2"/>
  <c r="D44" i="2"/>
  <c r="M44" i="2" s="1"/>
  <c r="H44" i="2"/>
  <c r="D41" i="2"/>
  <c r="M41" i="2" s="1"/>
  <c r="H41" i="2"/>
  <c r="D37" i="2"/>
  <c r="M37" i="2" s="1"/>
  <c r="H37" i="2"/>
  <c r="G44" i="2"/>
  <c r="D43" i="2"/>
  <c r="M43" i="2" s="1"/>
  <c r="H43" i="2"/>
  <c r="D42" i="2"/>
  <c r="M42" i="2" s="1"/>
  <c r="H42" i="2"/>
  <c r="I41" i="2"/>
  <c r="G40" i="2"/>
  <c r="D38" i="2"/>
  <c r="M38" i="2" s="1"/>
  <c r="H38" i="2"/>
  <c r="I37" i="2"/>
  <c r="G36" i="2"/>
  <c r="D33" i="2" l="1"/>
  <c r="M33" i="2" s="1"/>
  <c r="E101" i="4"/>
  <c r="F103" i="2" s="1"/>
  <c r="E60" i="2"/>
  <c r="E35" i="2"/>
  <c r="C35" i="2"/>
  <c r="E29" i="4"/>
  <c r="F31" i="2" s="1"/>
  <c r="D34" i="2"/>
  <c r="M34" i="2" s="1"/>
  <c r="E109" i="4"/>
  <c r="F111" i="2" s="1"/>
  <c r="E71" i="4"/>
  <c r="F73" i="2" s="1"/>
  <c r="E113" i="2"/>
  <c r="C26" i="2"/>
  <c r="E63" i="2"/>
  <c r="E30" i="4"/>
  <c r="F32" i="2" s="1"/>
  <c r="C32" i="2"/>
  <c r="E112" i="4"/>
  <c r="F114" i="2" s="1"/>
  <c r="E70" i="4"/>
  <c r="F72" i="2" s="1"/>
  <c r="E46" i="4"/>
  <c r="F48" i="2" s="1"/>
  <c r="E31" i="2"/>
  <c r="C31" i="2"/>
  <c r="E112" i="2"/>
  <c r="E102" i="4"/>
  <c r="F104" i="2" s="1"/>
  <c r="D30" i="2"/>
  <c r="M30" i="2" s="1"/>
  <c r="E29" i="2"/>
  <c r="C29" i="2"/>
  <c r="E28" i="2"/>
  <c r="C28" i="2"/>
  <c r="E75" i="4"/>
  <c r="F77" i="2" s="1"/>
  <c r="E24" i="4"/>
  <c r="F26" i="2" s="1"/>
  <c r="E83" i="4"/>
  <c r="F85" i="2" s="1"/>
  <c r="E99" i="4"/>
  <c r="F101" i="2" s="1"/>
  <c r="E78" i="4"/>
  <c r="F80" i="2" s="1"/>
  <c r="E108" i="2"/>
  <c r="E81" i="4"/>
  <c r="F83" i="2" s="1"/>
  <c r="E94" i="4"/>
  <c r="F96" i="2" s="1"/>
  <c r="E76" i="2"/>
  <c r="E93" i="4"/>
  <c r="F95" i="2" s="1"/>
  <c r="E87" i="4"/>
  <c r="F89" i="2" s="1"/>
  <c r="E73" i="4"/>
  <c r="F75" i="2" s="1"/>
  <c r="E26" i="4"/>
  <c r="F28" i="2" s="1"/>
  <c r="C24" i="2"/>
  <c r="E42" i="4"/>
  <c r="F44" i="2" s="1"/>
  <c r="E103" i="4"/>
  <c r="F105" i="2" s="1"/>
  <c r="E77" i="4"/>
  <c r="F79" i="2" s="1"/>
  <c r="E85" i="4"/>
  <c r="F87" i="2" s="1"/>
  <c r="E97" i="4"/>
  <c r="F99" i="2" s="1"/>
  <c r="E105" i="4"/>
  <c r="F107" i="2" s="1"/>
  <c r="E47" i="2"/>
  <c r="E88" i="2"/>
  <c r="E114" i="4"/>
  <c r="F116" i="2" s="1"/>
  <c r="E33" i="4"/>
  <c r="F35" i="2" s="1"/>
  <c r="E49" i="4"/>
  <c r="F51" i="2" s="1"/>
  <c r="E57" i="4"/>
  <c r="F59" i="2" s="1"/>
  <c r="E89" i="4"/>
  <c r="F91" i="2" s="1"/>
  <c r="E113" i="4"/>
  <c r="F115" i="2" s="1"/>
  <c r="E50" i="4"/>
  <c r="F52" i="2" s="1"/>
  <c r="E62" i="4"/>
  <c r="F64" i="2" s="1"/>
  <c r="E22" i="4"/>
  <c r="F24" i="2" s="1"/>
  <c r="E79" i="4"/>
  <c r="F81" i="2" s="1"/>
  <c r="E107" i="4"/>
  <c r="F109" i="2" s="1"/>
  <c r="E115" i="4"/>
  <c r="F117" i="2" s="1"/>
  <c r="E92" i="2"/>
  <c r="E32" i="2"/>
  <c r="E54" i="4"/>
  <c r="F56" i="2" s="1"/>
  <c r="E91" i="4"/>
  <c r="F93" i="2" s="1"/>
  <c r="E36" i="2"/>
  <c r="E66" i="4"/>
  <c r="F68" i="2" s="1"/>
  <c r="E27" i="4"/>
  <c r="F29" i="2" s="1"/>
  <c r="C25" i="2"/>
  <c r="E25" i="2"/>
  <c r="E23" i="4"/>
  <c r="F25" i="2" s="1"/>
  <c r="C21" i="2"/>
  <c r="E21" i="2"/>
  <c r="E19" i="4"/>
  <c r="F21" i="2" s="1"/>
  <c r="E45" i="2"/>
  <c r="E43" i="4"/>
  <c r="F45" i="2" s="1"/>
  <c r="E42" i="2"/>
  <c r="E40" i="4"/>
  <c r="F42" i="2" s="1"/>
  <c r="E58" i="2"/>
  <c r="E56" i="4"/>
  <c r="F58" i="2" s="1"/>
  <c r="E88" i="4"/>
  <c r="F90" i="2" s="1"/>
  <c r="E90" i="2"/>
  <c r="C22" i="2"/>
  <c r="E22" i="2"/>
  <c r="E20" i="4"/>
  <c r="F22" i="2" s="1"/>
  <c r="E23" i="2"/>
  <c r="E21" i="4"/>
  <c r="F23" i="2" s="1"/>
  <c r="C23" i="2"/>
  <c r="D24" i="2"/>
  <c r="M24" i="2" s="1"/>
  <c r="E33" i="2"/>
  <c r="E31" i="4"/>
  <c r="F33" i="2" s="1"/>
  <c r="E49" i="2"/>
  <c r="E47" i="4"/>
  <c r="F49" i="2" s="1"/>
  <c r="E65" i="2"/>
  <c r="E63" i="4"/>
  <c r="F65" i="2" s="1"/>
  <c r="E30" i="2"/>
  <c r="E28" i="4"/>
  <c r="F30" i="2" s="1"/>
  <c r="E46" i="2"/>
  <c r="E44" i="4"/>
  <c r="F46" i="2" s="1"/>
  <c r="E62" i="2"/>
  <c r="E60" i="4"/>
  <c r="F62" i="2" s="1"/>
  <c r="E78" i="2"/>
  <c r="E76" i="4"/>
  <c r="F78" i="2" s="1"/>
  <c r="E92" i="4"/>
  <c r="F94" i="2" s="1"/>
  <c r="E94" i="2"/>
  <c r="E108" i="4"/>
  <c r="F110" i="2" s="1"/>
  <c r="E110" i="2"/>
  <c r="E27" i="2"/>
  <c r="C27" i="2"/>
  <c r="E25" i="4"/>
  <c r="F27" i="2" s="1"/>
  <c r="E61" i="2"/>
  <c r="E59" i="4"/>
  <c r="F61" i="2" s="1"/>
  <c r="C20" i="2"/>
  <c r="E20" i="2"/>
  <c r="E18" i="4"/>
  <c r="F20" i="2" s="1"/>
  <c r="E74" i="2"/>
  <c r="E72" i="4"/>
  <c r="F74" i="2" s="1"/>
  <c r="E104" i="4"/>
  <c r="F106" i="2" s="1"/>
  <c r="E106" i="2"/>
  <c r="C18" i="2"/>
  <c r="E18" i="2"/>
  <c r="E16" i="4"/>
  <c r="F18" i="2" s="1"/>
  <c r="E19" i="2"/>
  <c r="C19" i="2"/>
  <c r="E17" i="4"/>
  <c r="F19" i="2" s="1"/>
  <c r="E37" i="2"/>
  <c r="E35" i="4"/>
  <c r="F37" i="2" s="1"/>
  <c r="E53" i="2"/>
  <c r="E51" i="4"/>
  <c r="F53" i="2" s="1"/>
  <c r="E69" i="2"/>
  <c r="E67" i="4"/>
  <c r="F69" i="2" s="1"/>
  <c r="E34" i="2"/>
  <c r="E32" i="4"/>
  <c r="F34" i="2" s="1"/>
  <c r="E50" i="2"/>
  <c r="E48" i="4"/>
  <c r="F50" i="2" s="1"/>
  <c r="E66" i="2"/>
  <c r="E64" i="4"/>
  <c r="F66" i="2" s="1"/>
  <c r="E80" i="4"/>
  <c r="F82" i="2" s="1"/>
  <c r="E82" i="2"/>
  <c r="E96" i="4"/>
  <c r="F98" i="2" s="1"/>
  <c r="E98" i="2"/>
  <c r="E41" i="2"/>
  <c r="E39" i="4"/>
  <c r="F41" i="2" s="1"/>
  <c r="E57" i="2"/>
  <c r="E55" i="4"/>
  <c r="F57" i="2" s="1"/>
  <c r="E38" i="2"/>
  <c r="E36" i="4"/>
  <c r="F38" i="2" s="1"/>
  <c r="E54" i="2"/>
  <c r="E52" i="4"/>
  <c r="F54" i="2" s="1"/>
  <c r="E70" i="2"/>
  <c r="E68" i="4"/>
  <c r="F70" i="2" s="1"/>
  <c r="E84" i="4"/>
  <c r="F86" i="2" s="1"/>
  <c r="E86" i="2"/>
  <c r="E100" i="4"/>
  <c r="F102" i="2" s="1"/>
  <c r="E102" i="2"/>
  <c r="D26" i="2" l="1"/>
  <c r="M26" i="2" s="1"/>
  <c r="D35" i="2"/>
  <c r="M35" i="2" s="1"/>
  <c r="D32" i="2"/>
  <c r="M32" i="2" s="1"/>
  <c r="D31" i="2"/>
  <c r="M31" i="2" s="1"/>
  <c r="D29" i="2"/>
  <c r="M29" i="2" s="1"/>
  <c r="D28" i="2"/>
  <c r="M28" i="2" s="1"/>
  <c r="D19" i="2"/>
  <c r="M19" i="2" s="1"/>
  <c r="D22" i="2"/>
  <c r="M22" i="2" s="1"/>
  <c r="D23" i="2"/>
  <c r="M23" i="2" s="1"/>
  <c r="C17" i="2"/>
  <c r="D18" i="2"/>
  <c r="M18" i="2" s="1"/>
  <c r="G18" i="2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D21" i="2"/>
  <c r="M21" i="2" s="1"/>
  <c r="D20" i="2"/>
  <c r="M20" i="2" s="1"/>
  <c r="D27" i="2"/>
  <c r="M27" i="2" s="1"/>
  <c r="D25" i="2"/>
  <c r="M25" i="2" s="1"/>
  <c r="B1" i="3" l="1"/>
  <c r="H18" i="2"/>
  <c r="I18" i="2" s="1"/>
  <c r="J18" i="2" l="1"/>
  <c r="L18" i="2" s="1"/>
  <c r="B3" i="3"/>
  <c r="C16" i="3" s="1"/>
  <c r="A16" i="3" s="1"/>
  <c r="B20" i="3"/>
  <c r="C20" i="3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B7" i="3"/>
  <c r="B21" i="3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H19" i="2"/>
  <c r="I19" i="2" s="1"/>
  <c r="D20" i="3" l="1"/>
  <c r="E20" i="3" s="1"/>
  <c r="N18" i="2"/>
  <c r="H20" i="2"/>
  <c r="I20" i="2" s="1"/>
  <c r="J20" i="2" s="1"/>
  <c r="L20" i="2" s="1"/>
  <c r="J19" i="2"/>
  <c r="L19" i="2" s="1"/>
  <c r="N19" i="2" s="1"/>
  <c r="D8" i="3"/>
  <c r="C8" i="3"/>
  <c r="H21" i="2" l="1"/>
  <c r="I21" i="2" s="1"/>
  <c r="J21" i="2" s="1"/>
  <c r="L21" i="2" s="1"/>
  <c r="D21" i="3"/>
  <c r="E21" i="3" s="1"/>
  <c r="H22" i="2"/>
  <c r="I22" i="2" s="1"/>
  <c r="J22" i="2" s="1"/>
  <c r="N20" i="2"/>
  <c r="D22" i="3"/>
  <c r="E22" i="3" s="1"/>
  <c r="H23" i="2" l="1"/>
  <c r="I23" i="2" s="1"/>
  <c r="J23" i="2" s="1"/>
  <c r="L22" i="2"/>
  <c r="N21" i="2"/>
  <c r="D23" i="3"/>
  <c r="E23" i="3" s="1"/>
  <c r="N22" i="2" l="1"/>
  <c r="D24" i="3"/>
  <c r="E24" i="3" s="1"/>
  <c r="H24" i="2"/>
  <c r="I24" i="2" s="1"/>
  <c r="J24" i="2" s="1"/>
  <c r="L23" i="2"/>
  <c r="L24" i="2" l="1"/>
  <c r="H25" i="2"/>
  <c r="I25" i="2" s="1"/>
  <c r="J25" i="2" s="1"/>
  <c r="N23" i="2"/>
  <c r="D25" i="3"/>
  <c r="E25" i="3" s="1"/>
  <c r="H26" i="2" l="1"/>
  <c r="I26" i="2" s="1"/>
  <c r="J26" i="2" s="1"/>
  <c r="L25" i="2"/>
  <c r="N24" i="2"/>
  <c r="D26" i="3"/>
  <c r="E26" i="3" s="1"/>
  <c r="N25" i="2" l="1"/>
  <c r="D27" i="3"/>
  <c r="E27" i="3" s="1"/>
  <c r="L26" i="2"/>
  <c r="H27" i="2"/>
  <c r="I27" i="2" s="1"/>
  <c r="J27" i="2" s="1"/>
  <c r="L27" i="2" l="1"/>
  <c r="N27" i="2" s="1"/>
  <c r="H28" i="2"/>
  <c r="I28" i="2" s="1"/>
  <c r="J28" i="2" s="1"/>
  <c r="N26" i="2"/>
  <c r="D28" i="3"/>
  <c r="E28" i="3" s="1"/>
  <c r="D29" i="3" l="1"/>
  <c r="E29" i="3" s="1"/>
  <c r="L28" i="2"/>
  <c r="N28" i="2" s="1"/>
  <c r="H29" i="2"/>
  <c r="I29" i="2" s="1"/>
  <c r="J29" i="2" s="1"/>
  <c r="D30" i="3" l="1"/>
  <c r="E30" i="3" s="1"/>
  <c r="L29" i="2"/>
  <c r="N29" i="2" s="1"/>
  <c r="H30" i="2"/>
  <c r="I30" i="2" s="1"/>
  <c r="J30" i="2" s="1"/>
  <c r="D31" i="3" l="1"/>
  <c r="E31" i="3" s="1"/>
  <c r="L30" i="2"/>
  <c r="D32" i="3" s="1"/>
  <c r="H31" i="2"/>
  <c r="I31" i="2" s="1"/>
  <c r="J31" i="2" s="1"/>
  <c r="L31" i="2" l="1"/>
  <c r="N31" i="2" s="1"/>
  <c r="H32" i="2"/>
  <c r="I32" i="2" s="1"/>
  <c r="J32" i="2" s="1"/>
  <c r="N30" i="2"/>
  <c r="E32" i="3"/>
  <c r="D33" i="3" l="1"/>
  <c r="D34" i="3" s="1"/>
  <c r="L32" i="2"/>
  <c r="N32" i="2" s="1"/>
  <c r="H33" i="2"/>
  <c r="I33" i="2"/>
  <c r="J33" i="2" s="1"/>
  <c r="E33" i="3" l="1"/>
  <c r="L33" i="2"/>
  <c r="D35" i="3" s="1"/>
  <c r="H34" i="2"/>
  <c r="I34" i="2" s="1"/>
  <c r="J34" i="2" s="1"/>
  <c r="E34" i="3"/>
  <c r="L34" i="2" l="1"/>
  <c r="N34" i="2" s="1"/>
  <c r="H35" i="2"/>
  <c r="I35" i="2" s="1"/>
  <c r="N33" i="2"/>
  <c r="E35" i="3"/>
  <c r="J35" i="2" l="1"/>
  <c r="L35" i="2" s="1"/>
  <c r="D36" i="3"/>
  <c r="E36" i="3" s="1"/>
  <c r="N35" i="2" l="1"/>
  <c r="L10" i="2" s="1"/>
  <c r="C65" i="5" s="1"/>
  <c r="L7" i="2"/>
  <c r="C62" i="5" s="1"/>
  <c r="L6" i="2"/>
  <c r="C61" i="5" s="1"/>
  <c r="L4" i="2"/>
  <c r="C7" i="2" s="1"/>
  <c r="L5" i="2"/>
  <c r="C60" i="5" s="1"/>
  <c r="L8" i="2"/>
  <c r="C63" i="5" s="1"/>
  <c r="C67" i="5" s="1"/>
  <c r="D37" i="3"/>
  <c r="E37" i="3" s="1"/>
  <c r="D38" i="3" l="1"/>
  <c r="D39" i="3" s="1"/>
  <c r="C4" i="2"/>
  <c r="B4" i="3" s="1"/>
  <c r="L9" i="2"/>
  <c r="C64" i="5" s="1"/>
  <c r="E71" i="5" s="1"/>
  <c r="C76" i="5" s="1"/>
  <c r="C59" i="5"/>
  <c r="C6" i="2"/>
  <c r="B5" i="3"/>
  <c r="C7" i="5"/>
  <c r="E38" i="3"/>
  <c r="C4" i="5" l="1"/>
  <c r="C45" i="5" s="1"/>
  <c r="C10" i="2"/>
  <c r="M34" i="3"/>
  <c r="M32" i="3" s="1"/>
  <c r="C8" i="2"/>
  <c r="C9" i="2"/>
  <c r="C11" i="2"/>
  <c r="C69" i="5"/>
  <c r="C74" i="5" s="1"/>
  <c r="C71" i="5"/>
  <c r="E76" i="5" s="1"/>
  <c r="E69" i="5"/>
  <c r="E74" i="5" s="1"/>
  <c r="F8" i="3"/>
  <c r="D12" i="3"/>
  <c r="D14" i="3" s="1"/>
  <c r="L20" i="3"/>
  <c r="L24" i="3"/>
  <c r="B6" i="3"/>
  <c r="L21" i="3"/>
  <c r="C6" i="5"/>
  <c r="C14" i="5" s="1"/>
  <c r="C16" i="5" s="1"/>
  <c r="C27" i="5" s="1"/>
  <c r="C29" i="5" s="1"/>
  <c r="G15" i="3"/>
  <c r="D13" i="3"/>
  <c r="G13" i="3"/>
  <c r="D40" i="3"/>
  <c r="E39" i="3"/>
  <c r="C19" i="5" l="1"/>
  <c r="C37" i="5"/>
  <c r="C47" i="5"/>
  <c r="C50" i="5" s="1"/>
  <c r="C13" i="3"/>
  <c r="B13" i="3"/>
  <c r="D15" i="3"/>
  <c r="A17" i="3"/>
  <c r="E8" i="3"/>
  <c r="H8" i="3" s="1"/>
  <c r="I8" i="3" s="1"/>
  <c r="B8" i="3" s="1"/>
  <c r="E40" i="3"/>
  <c r="D41" i="3"/>
  <c r="B15" i="3" l="1"/>
  <c r="C15" i="3"/>
  <c r="O42" i="3"/>
  <c r="O22" i="3"/>
  <c r="O30" i="3"/>
  <c r="O37" i="3"/>
  <c r="O40" i="3"/>
  <c r="O49" i="3"/>
  <c r="O50" i="3"/>
  <c r="O39" i="3"/>
  <c r="O45" i="3"/>
  <c r="O31" i="3"/>
  <c r="O56" i="3"/>
  <c r="L31" i="3"/>
  <c r="O25" i="3"/>
  <c r="O54" i="3"/>
  <c r="O58" i="3"/>
  <c r="O26" i="3"/>
  <c r="O47" i="3"/>
  <c r="O41" i="3"/>
  <c r="O21" i="3"/>
  <c r="O38" i="3"/>
  <c r="L34" i="3"/>
  <c r="L32" i="3" s="1"/>
  <c r="O34" i="3"/>
  <c r="O53" i="3"/>
  <c r="F14" i="3"/>
  <c r="O27" i="3"/>
  <c r="O36" i="3"/>
  <c r="O29" i="3"/>
  <c r="O46" i="3"/>
  <c r="O48" i="3"/>
  <c r="O35" i="3"/>
  <c r="L28" i="3"/>
  <c r="O44" i="3"/>
  <c r="O43" i="3"/>
  <c r="O28" i="3"/>
  <c r="F12" i="3"/>
  <c r="O55" i="3"/>
  <c r="L27" i="3"/>
  <c r="L33" i="3"/>
  <c r="O24" i="3"/>
  <c r="O20" i="3"/>
  <c r="O32" i="3"/>
  <c r="O52" i="3"/>
  <c r="O33" i="3"/>
  <c r="O23" i="3"/>
  <c r="O57" i="3"/>
  <c r="O51" i="3"/>
  <c r="D42" i="3"/>
  <c r="E41" i="3"/>
  <c r="G14" i="3" l="1"/>
  <c r="C14" i="3" s="1"/>
  <c r="K24" i="3" s="1"/>
  <c r="J24" i="3" s="1"/>
  <c r="B14" i="3"/>
  <c r="G12" i="3"/>
  <c r="C12" i="3" s="1"/>
  <c r="B12" i="3"/>
  <c r="E42" i="3"/>
  <c r="D43" i="3"/>
  <c r="K20" i="3" l="1"/>
  <c r="J20" i="3" s="1"/>
  <c r="K39" i="3"/>
  <c r="J39" i="3" s="1"/>
  <c r="K40" i="3"/>
  <c r="J40" i="3" s="1"/>
  <c r="K28" i="3"/>
  <c r="J28" i="3" s="1"/>
  <c r="K31" i="3"/>
  <c r="J31" i="3" s="1"/>
  <c r="K22" i="3"/>
  <c r="J22" i="3" s="1"/>
  <c r="K26" i="3"/>
  <c r="J26" i="3" s="1"/>
  <c r="K30" i="3"/>
  <c r="J30" i="3" s="1"/>
  <c r="K38" i="3"/>
  <c r="J38" i="3" s="1"/>
  <c r="K27" i="3"/>
  <c r="J27" i="3" s="1"/>
  <c r="K32" i="3"/>
  <c r="J32" i="3" s="1"/>
  <c r="K33" i="3"/>
  <c r="J33" i="3" s="1"/>
  <c r="K37" i="3"/>
  <c r="J37" i="3" s="1"/>
  <c r="K25" i="3"/>
  <c r="J25" i="3" s="1"/>
  <c r="K36" i="3"/>
  <c r="J36" i="3" s="1"/>
  <c r="K34" i="3"/>
  <c r="J34" i="3" s="1"/>
  <c r="K29" i="3"/>
  <c r="J29" i="3" s="1"/>
  <c r="K21" i="3"/>
  <c r="J21" i="3" s="1"/>
  <c r="K35" i="3"/>
  <c r="J35" i="3" s="1"/>
  <c r="K23" i="3"/>
  <c r="J23" i="3" s="1"/>
  <c r="D44" i="3"/>
  <c r="E43" i="3"/>
  <c r="E44" i="3" l="1"/>
  <c r="D45" i="3"/>
  <c r="D46" i="3" l="1"/>
  <c r="E45" i="3"/>
  <c r="E46" i="3" l="1"/>
  <c r="D47" i="3"/>
  <c r="D48" i="3" l="1"/>
  <c r="E47" i="3"/>
  <c r="E48" i="3" l="1"/>
  <c r="D49" i="3"/>
  <c r="D50" i="3" l="1"/>
  <c r="E49" i="3"/>
  <c r="E50" i="3" l="1"/>
  <c r="D51" i="3"/>
  <c r="D52" i="3" l="1"/>
  <c r="E51" i="3"/>
  <c r="E52" i="3" l="1"/>
  <c r="D53" i="3"/>
  <c r="D54" i="3" l="1"/>
  <c r="E53" i="3"/>
  <c r="E54" i="3" l="1"/>
  <c r="D55" i="3"/>
  <c r="D56" i="3" l="1"/>
  <c r="E55" i="3"/>
  <c r="E56" i="3" l="1"/>
  <c r="D57" i="3"/>
  <c r="D58" i="3" l="1"/>
  <c r="E57" i="3"/>
  <c r="E58" i="3" l="1"/>
  <c r="D59" i="3"/>
  <c r="E59" i="3" l="1"/>
  <c r="D60" i="3"/>
  <c r="D61" i="3" l="1"/>
  <c r="E60" i="3"/>
  <c r="E61" i="3" l="1"/>
  <c r="D62" i="3"/>
  <c r="D63" i="3" l="1"/>
  <c r="E62" i="3"/>
  <c r="E63" i="3" l="1"/>
  <c r="D64" i="3"/>
  <c r="D65" i="3" l="1"/>
  <c r="E64" i="3"/>
  <c r="E65" i="3" l="1"/>
  <c r="D66" i="3"/>
  <c r="D67" i="3" l="1"/>
  <c r="E66" i="3"/>
  <c r="E67" i="3" l="1"/>
  <c r="D68" i="3"/>
  <c r="D69" i="3" l="1"/>
  <c r="E68" i="3"/>
  <c r="E69" i="3" l="1"/>
  <c r="D70" i="3"/>
  <c r="D71" i="3" l="1"/>
  <c r="E70" i="3"/>
  <c r="E71" i="3" l="1"/>
  <c r="D72" i="3"/>
  <c r="D73" i="3" l="1"/>
  <c r="E72" i="3"/>
  <c r="E73" i="3" l="1"/>
  <c r="D74" i="3"/>
  <c r="D75" i="3" l="1"/>
  <c r="E74" i="3"/>
  <c r="E75" i="3" l="1"/>
  <c r="D76" i="3"/>
  <c r="D77" i="3" l="1"/>
  <c r="E76" i="3"/>
  <c r="E77" i="3" l="1"/>
  <c r="D78" i="3"/>
  <c r="D79" i="3" l="1"/>
  <c r="E78" i="3"/>
  <c r="E79" i="3" l="1"/>
  <c r="D80" i="3"/>
  <c r="D81" i="3" l="1"/>
  <c r="E80" i="3"/>
  <c r="E81" i="3" l="1"/>
  <c r="D82" i="3"/>
  <c r="D83" i="3" l="1"/>
  <c r="E82" i="3"/>
  <c r="E83" i="3" l="1"/>
  <c r="D84" i="3"/>
  <c r="D85" i="3" l="1"/>
  <c r="E84" i="3"/>
  <c r="E85" i="3" l="1"/>
  <c r="D86" i="3"/>
  <c r="D87" i="3" l="1"/>
  <c r="E86" i="3"/>
  <c r="E87" i="3" l="1"/>
  <c r="D88" i="3"/>
  <c r="D89" i="3" l="1"/>
  <c r="E88" i="3"/>
  <c r="E89" i="3" l="1"/>
  <c r="D90" i="3"/>
  <c r="D91" i="3" l="1"/>
  <c r="E90" i="3"/>
  <c r="E91" i="3" l="1"/>
  <c r="D92" i="3"/>
  <c r="D93" i="3" l="1"/>
  <c r="E92" i="3"/>
  <c r="E93" i="3" l="1"/>
  <c r="D94" i="3"/>
  <c r="D95" i="3" l="1"/>
  <c r="E94" i="3"/>
  <c r="D96" i="3" l="1"/>
  <c r="E95" i="3"/>
  <c r="E96" i="3" l="1"/>
  <c r="D97" i="3"/>
  <c r="E97" i="3" l="1"/>
  <c r="D98" i="3"/>
  <c r="D99" i="3" l="1"/>
  <c r="E98" i="3"/>
  <c r="D100" i="3" l="1"/>
  <c r="E99" i="3"/>
  <c r="D101" i="3" l="1"/>
  <c r="E100" i="3"/>
  <c r="D102" i="3" l="1"/>
  <c r="E101" i="3"/>
  <c r="D103" i="3" l="1"/>
  <c r="E102" i="3"/>
  <c r="D104" i="3" l="1"/>
  <c r="E103" i="3"/>
  <c r="D105" i="3" l="1"/>
  <c r="E104" i="3"/>
  <c r="D106" i="3" l="1"/>
  <c r="E105" i="3"/>
  <c r="D107" i="3" l="1"/>
  <c r="E106" i="3"/>
  <c r="D108" i="3" l="1"/>
  <c r="E107" i="3"/>
  <c r="D109" i="3" l="1"/>
  <c r="E108" i="3"/>
  <c r="D110" i="3" l="1"/>
  <c r="E109" i="3"/>
  <c r="D111" i="3" l="1"/>
  <c r="E110" i="3"/>
  <c r="D112" i="3" l="1"/>
  <c r="E111" i="3"/>
  <c r="D113" i="3" l="1"/>
  <c r="E112" i="3"/>
  <c r="D114" i="3" l="1"/>
  <c r="E113" i="3"/>
  <c r="D115" i="3" l="1"/>
  <c r="E114" i="3"/>
  <c r="D116" i="3" l="1"/>
  <c r="E115" i="3"/>
  <c r="D117" i="3" l="1"/>
  <c r="E116" i="3"/>
  <c r="D118" i="3" l="1"/>
  <c r="E117" i="3"/>
  <c r="D119" i="3" l="1"/>
  <c r="E119" i="3" s="1"/>
  <c r="E118" i="3"/>
  <c r="E19" i="3" l="1"/>
  <c r="A19" i="3" s="1"/>
  <c r="B13" i="4" s="1"/>
</calcChain>
</file>

<file path=xl/comments1.xml><?xml version="1.0" encoding="utf-8"?>
<comments xmlns="http://schemas.openxmlformats.org/spreadsheetml/2006/main">
  <authors>
    <author>Elmar Hillel</author>
  </authors>
  <commentList>
    <comment ref="D17" authorId="0">
      <text>
        <r>
          <rPr>
            <sz val="8"/>
            <color indexed="81"/>
            <rFont val="Tahoma"/>
            <family val="2"/>
          </rPr>
          <t>Der Startwert der ausfallfreien Zeit t</t>
        </r>
        <r>
          <rPr>
            <vertAlign val="subscript"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</rPr>
          <t xml:space="preserve"> sollte immer null sein. Zeigt sich dann im Lebensdauernetz eine Krümmung der Punkteschar und ist eine Mindestlebensdauer technisch plausibel, kann t</t>
        </r>
        <r>
          <rPr>
            <vertAlign val="subscript"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</rPr>
          <t xml:space="preserve"> schrittweise verändert werden. Die beste Schätzung für t</t>
        </r>
        <r>
          <rPr>
            <vertAlign val="subscript"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</rPr>
          <t xml:space="preserve"> ist erreicht, wenn das Bestimmtheitsmaß (Zelle L6) ein Maximum annimmt.
Dies kann automatisch mit der Zielwertsuche
(Extras =&gt; Zielwertsuche) erfolgen:
</t>
        </r>
        <r>
          <rPr>
            <b/>
            <sz val="8"/>
            <color indexed="81"/>
            <rFont val="Tahoma"/>
            <family val="2"/>
          </rPr>
          <t>- Zielzelle:  L6
- Zielwert: 1
- Veränderbare Zelle: D17</t>
        </r>
        <r>
          <rPr>
            <sz val="8"/>
            <color indexed="81"/>
            <rFont val="Tahoma"/>
            <family val="2"/>
          </rPr>
          <t xml:space="preserve">
Ggf. Zielwert auf z. B. 0,999 oder 0,99 senken, falls kein brauchbares Ergebnis gefunden wird.
</t>
        </r>
        <r>
          <rPr>
            <b/>
            <sz val="8"/>
            <color indexed="81"/>
            <rFont val="Tahoma"/>
            <family val="2"/>
          </rPr>
          <t>Das Ergebnis ist in geeigneter Weise zu runden!</t>
        </r>
      </text>
    </comment>
  </commentList>
</comments>
</file>

<file path=xl/comments2.xml><?xml version="1.0" encoding="utf-8"?>
<comments xmlns="http://schemas.openxmlformats.org/spreadsheetml/2006/main">
  <authors>
    <author>Elmar Hillel</author>
  </authors>
  <commentList>
    <comment ref="E8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T normiert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T* normiert</t>
        </r>
      </text>
    </comment>
    <comment ref="G8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normales Skalenende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Abszisse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Ordinate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Abszisse</t>
        </r>
      </text>
    </comment>
    <comment ref="C13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Ordinate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Abszisse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Ordinate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Abszisse</t>
        </r>
      </text>
    </comment>
    <comment ref="C15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Ordinate</t>
        </r>
      </text>
    </comment>
  </commentList>
</comments>
</file>

<file path=xl/sharedStrings.xml><?xml version="1.0" encoding="utf-8"?>
<sst xmlns="http://schemas.openxmlformats.org/spreadsheetml/2006/main" count="160" uniqueCount="147">
  <si>
    <t>Regression für Einzelwerte mit festen Auftragspositionen und abhängigen Lebensdauern</t>
  </si>
  <si>
    <t>Bestand</t>
  </si>
  <si>
    <t>n =</t>
  </si>
  <si>
    <t>—</t>
  </si>
  <si>
    <t>Netzlinien</t>
  </si>
  <si>
    <t>Ausgleichskurve</t>
  </si>
  <si>
    <t>Lot auf T</t>
  </si>
  <si>
    <t>Punkt T oder t-0</t>
  </si>
  <si>
    <t>Steigung b = 1</t>
  </si>
  <si>
    <t>b-Skala</t>
  </si>
  <si>
    <t>Steigung b</t>
  </si>
  <si>
    <t>laufende Nr.</t>
  </si>
  <si>
    <t>geordnete vollständige Lebensdauern</t>
  </si>
  <si>
    <t>vollständige Lebensdauern</t>
  </si>
  <si>
    <t>unvollständige Lebensdauern</t>
  </si>
  <si>
    <t xml:space="preserve"> = Stichprobenumfang = Anfangsbestand</t>
  </si>
  <si>
    <r>
      <t>n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(t) =</t>
    </r>
  </si>
  <si>
    <r>
      <t>n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(t) =</t>
    </r>
  </si>
  <si>
    <t xml:space="preserve"> = Anzahl vollständiger Lebensdauern</t>
  </si>
  <si>
    <t xml:space="preserve"> = Anzahl unvollständiger Lebensdauern</t>
  </si>
  <si>
    <t>Anzahlen unvollständig erfasster Lebensdauern</t>
  </si>
  <si>
    <t xml:space="preserve"> = Anzahl Lebensdauern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</si>
  <si>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</si>
  <si>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</si>
  <si>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</si>
  <si>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</si>
  <si>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</si>
  <si>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</si>
  <si>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</si>
  <si>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</si>
  <si>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</si>
  <si>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Lebensdauernetzpunkte</t>
  </si>
  <si>
    <t>Erfassung annähernd weibullverteilter Lebensdauern (Einzelwerte)</t>
  </si>
  <si>
    <t>j</t>
  </si>
  <si>
    <t>Rang</t>
  </si>
  <si>
    <t>Einzelwert</t>
  </si>
  <si>
    <t>Anzahl der Ausfälle</t>
  </si>
  <si>
    <t>Anzahl unvollständig erfasster Lebens- dauern</t>
  </si>
  <si>
    <t>Inkrement für unvollständig erfasste Lebens- dauern</t>
  </si>
  <si>
    <t>absolute Häufigkeits- summe</t>
  </si>
  <si>
    <t>relative Häufigkeits- summe</t>
  </si>
  <si>
    <t>Trans- formation</t>
  </si>
  <si>
    <r>
      <t>t</t>
    </r>
    <r>
      <rPr>
        <vertAlign val="subscript"/>
        <sz val="10"/>
        <color indexed="17"/>
        <rFont val="Times New Roman"/>
        <family val="1"/>
      </rPr>
      <t>j</t>
    </r>
  </si>
  <si>
    <r>
      <t>n</t>
    </r>
    <r>
      <rPr>
        <vertAlign val="subscript"/>
        <sz val="10"/>
        <color indexed="17"/>
        <rFont val="Times New Roman"/>
        <family val="1"/>
      </rPr>
      <t>j</t>
    </r>
  </si>
  <si>
    <r>
      <t>B</t>
    </r>
    <r>
      <rPr>
        <vertAlign val="subscript"/>
        <sz val="10"/>
        <color indexed="17"/>
        <rFont val="Times New Roman"/>
        <family val="1"/>
      </rPr>
      <t>j</t>
    </r>
  </si>
  <si>
    <r>
      <t>G</t>
    </r>
    <r>
      <rPr>
        <vertAlign val="subscript"/>
        <sz val="10"/>
        <color indexed="17"/>
        <rFont val="Times New Roman"/>
        <family val="1"/>
      </rPr>
      <t>j</t>
    </r>
  </si>
  <si>
    <r>
      <t>H</t>
    </r>
    <r>
      <rPr>
        <vertAlign val="subscript"/>
        <sz val="10"/>
        <color indexed="17"/>
        <rFont val="Times New Roman"/>
        <family val="1"/>
      </rPr>
      <t>j</t>
    </r>
  </si>
  <si>
    <r>
      <t>D</t>
    </r>
    <r>
      <rPr>
        <sz val="10"/>
        <color indexed="17"/>
        <rFont val="Times New Roman"/>
        <family val="1"/>
      </rPr>
      <t>G</t>
    </r>
    <r>
      <rPr>
        <vertAlign val="subscript"/>
        <sz val="10"/>
        <color indexed="17"/>
        <rFont val="Times New Roman"/>
        <family val="1"/>
      </rPr>
      <t>j</t>
    </r>
  </si>
  <si>
    <r>
      <t>t</t>
    </r>
    <r>
      <rPr>
        <vertAlign val="subscript"/>
        <sz val="10"/>
        <color indexed="17"/>
        <rFont val="Times New Roman"/>
        <family val="1"/>
      </rPr>
      <t>0</t>
    </r>
    <r>
      <rPr>
        <sz val="10"/>
        <color indexed="17"/>
        <rFont val="Times New Roman"/>
        <family val="1"/>
      </rPr>
      <t xml:space="preserve"> =</t>
    </r>
  </si>
  <si>
    <t>Kenngrößen</t>
  </si>
  <si>
    <t>Kenngrößen der Regression</t>
  </si>
  <si>
    <t>transformiert</t>
  </si>
  <si>
    <t>Potenz resultierend</t>
  </si>
  <si>
    <t>normiert</t>
  </si>
  <si>
    <t>Zeitachse unten ab t =</t>
  </si>
  <si>
    <t>Zeitachse oben bis t =</t>
  </si>
  <si>
    <t>Potenz aus Vorgabe</t>
  </si>
  <si>
    <t>Potenz zur Transformation</t>
  </si>
  <si>
    <t>T* normiert</t>
  </si>
  <si>
    <t>T normiert</t>
  </si>
  <si>
    <t>b</t>
  </si>
  <si>
    <t>t0 normiert</t>
  </si>
  <si>
    <t>Ausgleichsgerade oben bis</t>
  </si>
  <si>
    <t>Ausgleichsgerade unten ab</t>
  </si>
  <si>
    <t>Ordinatenende bei F(t) =</t>
  </si>
  <si>
    <t>Ardinatenanfang bei (Standard -7)</t>
  </si>
  <si>
    <t>Ausgleichskurve oben bis</t>
  </si>
  <si>
    <t>Ausgleichskurve unten ab</t>
  </si>
  <si>
    <t>dimensionslos</t>
  </si>
  <si>
    <t>(Faktor)</t>
  </si>
  <si>
    <t>(Einheit)</t>
  </si>
  <si>
    <t xml:space="preserve"> Formparameter b</t>
  </si>
  <si>
    <t xml:space="preserve"> Schätzwerte für:</t>
  </si>
  <si>
    <r>
      <t>t</t>
    </r>
    <r>
      <rPr>
        <vertAlign val="subscript"/>
        <sz val="10"/>
        <color indexed="17"/>
        <rFont val="Times New Roman"/>
        <family val="1"/>
      </rPr>
      <t xml:space="preserve">j </t>
    </r>
    <r>
      <rPr>
        <sz val="10"/>
        <color indexed="17"/>
        <rFont val="Times New Roman"/>
        <family val="1"/>
      </rPr>
      <t>– t</t>
    </r>
    <r>
      <rPr>
        <vertAlign val="subscript"/>
        <sz val="10"/>
        <color indexed="17"/>
        <rFont val="Times New Roman"/>
        <family val="1"/>
      </rPr>
      <t>0</t>
    </r>
  </si>
  <si>
    <t xml:space="preserve">= </t>
  </si>
  <si>
    <t xml:space="preserve"> Charakteristische Lebensdauer T</t>
  </si>
  <si>
    <r>
      <t xml:space="preserve"> ausfallfreie Zeit = Mindestlebensdauer t</t>
    </r>
    <r>
      <rPr>
        <vertAlign val="subscript"/>
        <sz val="10"/>
        <color indexed="17"/>
        <rFont val="Times New Roman"/>
        <family val="1"/>
      </rPr>
      <t>0</t>
    </r>
    <r>
      <rPr>
        <sz val="10"/>
        <color indexed="17"/>
        <rFont val="Times New Roman"/>
        <family val="1"/>
      </rPr>
      <t xml:space="preserve"> </t>
    </r>
  </si>
  <si>
    <r>
      <t xml:space="preserve"> mittlere Lebensdauer = arithmetischer Mittelwert µ</t>
    </r>
    <r>
      <rPr>
        <vertAlign val="subscript"/>
        <sz val="10"/>
        <color indexed="17"/>
        <rFont val="Times New Roman"/>
        <family val="1"/>
      </rPr>
      <t>t</t>
    </r>
    <r>
      <rPr>
        <sz val="10"/>
        <color indexed="17"/>
        <rFont val="Times New Roman"/>
        <family val="1"/>
      </rPr>
      <t xml:space="preserve"> </t>
    </r>
  </si>
  <si>
    <r>
      <t xml:space="preserve"> Standardabweichung der Lebensdauern </t>
    </r>
    <r>
      <rPr>
        <sz val="10"/>
        <color indexed="17"/>
        <rFont val="Symbol"/>
        <family val="1"/>
        <charset val="2"/>
      </rPr>
      <t>s</t>
    </r>
    <r>
      <rPr>
        <vertAlign val="subscript"/>
        <sz val="10"/>
        <color indexed="17"/>
        <rFont val="Times New Roman"/>
        <family val="1"/>
      </rPr>
      <t>t</t>
    </r>
    <r>
      <rPr>
        <sz val="10"/>
        <color indexed="17"/>
        <rFont val="Times New Roman"/>
        <family val="1"/>
      </rPr>
      <t xml:space="preserve"> </t>
    </r>
  </si>
  <si>
    <t>Lebens-</t>
  </si>
  <si>
    <t>dauern in</t>
  </si>
  <si>
    <t>Betrachteter Zeitpunkt t =</t>
  </si>
  <si>
    <t>geschätzte Ausfallwahrscheinlichkeit F(t) =</t>
  </si>
  <si>
    <t>geschätzte Überlebenswahrscheinlichkeit R(t) =</t>
  </si>
  <si>
    <r>
      <t xml:space="preserve">geschätzte Ausfallrate </t>
    </r>
    <r>
      <rPr>
        <sz val="10"/>
        <rFont val="Symbol"/>
        <family val="1"/>
        <charset val="2"/>
      </rPr>
      <t>l</t>
    </r>
    <r>
      <rPr>
        <sz val="10"/>
        <rFont val="Arial"/>
        <family val="2"/>
      </rPr>
      <t>(t) =</t>
    </r>
  </si>
  <si>
    <t>Auswerteblatt zum Lebensdauernetz</t>
  </si>
  <si>
    <r>
      <t xml:space="preserve"> 0,1-Quantil = "zuverlässige" Lebensdauer t</t>
    </r>
    <r>
      <rPr>
        <vertAlign val="subscript"/>
        <sz val="10"/>
        <color indexed="17"/>
        <rFont val="Times New Roman"/>
        <family val="1"/>
      </rPr>
      <t>10</t>
    </r>
    <r>
      <rPr>
        <sz val="10"/>
        <color indexed="17"/>
        <rFont val="Times New Roman"/>
        <family val="1"/>
      </rPr>
      <t xml:space="preserve"> </t>
    </r>
  </si>
  <si>
    <r>
      <t xml:space="preserve"> 0,5-Quantil = Median der Lebensdauern t</t>
    </r>
    <r>
      <rPr>
        <vertAlign val="subscript"/>
        <sz val="10"/>
        <color indexed="17"/>
        <rFont val="Times New Roman"/>
        <family val="1"/>
      </rPr>
      <t>50</t>
    </r>
    <r>
      <rPr>
        <sz val="10"/>
        <color indexed="17"/>
        <rFont val="Times New Roman"/>
        <family val="1"/>
      </rPr>
      <t xml:space="preserve"> </t>
    </r>
  </si>
  <si>
    <t xml:space="preserve"> transformierte Charakteristische Lebensdauer T*</t>
  </si>
  <si>
    <r>
      <t>x</t>
    </r>
    <r>
      <rPr>
        <vertAlign val="subscript"/>
        <sz val="10"/>
        <rFont val="Arial"/>
        <family val="2"/>
      </rPr>
      <t>j</t>
    </r>
    <r>
      <rPr>
        <sz val="10"/>
        <rFont val="Arial"/>
        <family val="2"/>
      </rPr>
      <t xml:space="preserve"> =</t>
    </r>
  </si>
  <si>
    <r>
      <t>y</t>
    </r>
    <r>
      <rPr>
        <vertAlign val="subscript"/>
        <sz val="10"/>
        <rFont val="Arial"/>
        <family val="2"/>
      </rPr>
      <t>j</t>
    </r>
    <r>
      <rPr>
        <sz val="10"/>
        <rFont val="Arial"/>
        <family val="2"/>
      </rPr>
      <t xml:space="preserve"> =</t>
    </r>
  </si>
  <si>
    <r>
      <t>ln (t</t>
    </r>
    <r>
      <rPr>
        <vertAlign val="subscript"/>
        <sz val="10"/>
        <rFont val="Arial"/>
        <family val="2"/>
      </rPr>
      <t>j</t>
    </r>
    <r>
      <rPr>
        <sz val="10"/>
        <rFont val="Arial"/>
        <family val="2"/>
      </rPr>
      <t>)</t>
    </r>
  </si>
  <si>
    <r>
      <t xml:space="preserve"> ln ln(1/(1-H</t>
    </r>
    <r>
      <rPr>
        <vertAlign val="subscript"/>
        <sz val="10"/>
        <rFont val="Arial"/>
        <family val="2"/>
      </rPr>
      <t>j</t>
    </r>
    <r>
      <rPr>
        <sz val="10"/>
        <rFont val="Arial"/>
        <family val="2"/>
      </rPr>
      <t>))</t>
    </r>
  </si>
  <si>
    <r>
      <t>x</t>
    </r>
    <r>
      <rPr>
        <vertAlign val="subscript"/>
        <sz val="10"/>
        <rFont val="Arial"/>
        <family val="2"/>
      </rPr>
      <t>j</t>
    </r>
    <r>
      <rPr>
        <sz val="10"/>
        <rFont val="Arial"/>
        <family val="2"/>
      </rPr>
      <t>²</t>
    </r>
    <r>
      <rPr>
        <sz val="10"/>
        <rFont val="Arial"/>
        <family val="2"/>
      </rPr>
      <t xml:space="preserve"> =</t>
    </r>
  </si>
  <si>
    <r>
      <t xml:space="preserve"> = Achsenabschnitt b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</t>
    </r>
  </si>
  <si>
    <r>
      <t xml:space="preserve"> = Steigung b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</si>
  <si>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r>
      <t xml:space="preserve"> = Bestimmtheitsmaß B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</si>
  <si>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r>
      <t xml:space="preserve"> = Reststandardabweichung s</t>
    </r>
    <r>
      <rPr>
        <vertAlign val="subscript"/>
        <sz val="10"/>
        <rFont val="Arial"/>
        <family val="2"/>
      </rPr>
      <t>R</t>
    </r>
  </si>
  <si>
    <r>
      <t xml:space="preserve"> = Summe der quadrierten Abweichungen in x-Richtung Q</t>
    </r>
    <r>
      <rPr>
        <vertAlign val="subscript"/>
        <sz val="10"/>
        <rFont val="Arial"/>
        <family val="2"/>
      </rPr>
      <t>xx</t>
    </r>
    <r>
      <rPr>
        <sz val="10"/>
        <rFont val="Arial"/>
        <family val="2"/>
      </rPr>
      <t xml:space="preserve"> </t>
    </r>
  </si>
  <si>
    <r>
      <t xml:space="preserve"> = Summe der quadrierten x-Werte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x²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</si>
  <si>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r>
      <t xml:space="preserve"> = Anzahl vollständiger Lebensdauern n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(t)</t>
    </r>
  </si>
  <si>
    <t xml:space="preserve"> ausfallfreie Zeit = Mindestlebensdauer t0 </t>
  </si>
  <si>
    <t xml:space="preserve"> betrachteten Einheiten,</t>
  </si>
  <si>
    <t>von denen maximal x =</t>
  </si>
  <si>
    <t>wird unter identischen Bedingungen beansprucht.</t>
  </si>
  <si>
    <t>ausfallen dürfen, damit das System überlebt,</t>
  </si>
  <si>
    <r>
      <t>geschätzte Ausfallwahrscheinlichkeit F</t>
    </r>
    <r>
      <rPr>
        <vertAlign val="subscript"/>
        <sz val="10"/>
        <rFont val="Arial"/>
        <family val="2"/>
      </rPr>
      <t>ges</t>
    </r>
    <r>
      <rPr>
        <sz val="10"/>
        <rFont val="Arial"/>
        <family val="2"/>
      </rPr>
      <t>(t)</t>
    </r>
    <r>
      <rPr>
        <sz val="10"/>
        <rFont val="Arial"/>
        <family val="2"/>
      </rPr>
      <t xml:space="preserve"> =</t>
    </r>
  </si>
  <si>
    <r>
      <t>geschätzte Überlebenswahrscheinlichkeit R</t>
    </r>
    <r>
      <rPr>
        <vertAlign val="subscript"/>
        <sz val="10"/>
        <rFont val="Arial"/>
        <family val="2"/>
      </rPr>
      <t>ges</t>
    </r>
    <r>
      <rPr>
        <sz val="10"/>
        <rFont val="Arial"/>
        <family val="2"/>
      </rPr>
      <t>(t) =</t>
    </r>
  </si>
  <si>
    <t>Vorgabe einer Zeit t</t>
  </si>
  <si>
    <t>Systemzuverlässigkeit</t>
  </si>
  <si>
    <t>Ein System aus n =</t>
  </si>
  <si>
    <t>Methode 4 nach DIN ISO 21747:2006</t>
  </si>
  <si>
    <t>"Iso-Perzentilmethode"</t>
  </si>
  <si>
    <r>
      <t xml:space="preserve"> 50-Perzentil t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 xml:space="preserve"> = </t>
    </r>
  </si>
  <si>
    <r>
      <t xml:space="preserve"> 0,135-Perzentil t</t>
    </r>
    <r>
      <rPr>
        <vertAlign val="subscript"/>
        <sz val="10"/>
        <rFont val="Arial"/>
        <family val="2"/>
      </rPr>
      <t>0,135</t>
    </r>
    <r>
      <rPr>
        <sz val="10"/>
        <rFont val="Arial"/>
        <family val="2"/>
      </rPr>
      <t xml:space="preserve"> = </t>
    </r>
  </si>
  <si>
    <r>
      <t>geschätzter Fähigkeitskennwert C</t>
    </r>
    <r>
      <rPr>
        <vertAlign val="subscript"/>
        <sz val="10"/>
        <rFont val="Arial"/>
        <family val="2"/>
      </rPr>
      <t>pk</t>
    </r>
    <r>
      <rPr>
        <sz val="10"/>
        <rFont val="Arial"/>
        <family val="2"/>
      </rPr>
      <t xml:space="preserve"> = </t>
    </r>
  </si>
  <si>
    <t>Vorgabe einer Überlebenswahrscheinlichkeit</t>
  </si>
  <si>
    <t>Überlebenswahrscheinlichkeit R(t) =</t>
  </si>
  <si>
    <t>geschätzte Zeit t =</t>
  </si>
  <si>
    <t>USG =</t>
  </si>
  <si>
    <t>Prozessfähigkeit bei Forderung einer Mindestlebensdauer</t>
  </si>
  <si>
    <r>
      <t xml:space="preserve">Vertrauensniveau 1 – 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 </t>
    </r>
  </si>
  <si>
    <r>
      <t>S</t>
    </r>
    <r>
      <rPr>
        <sz val="10"/>
        <rFont val="Arial"/>
        <family val="2"/>
      </rPr>
      <t>x²</t>
    </r>
    <r>
      <rPr>
        <vertAlign val="subscript"/>
        <sz val="10"/>
        <rFont val="Arial"/>
        <family val="2"/>
      </rPr>
      <t xml:space="preserve"> = </t>
    </r>
  </si>
  <si>
    <r>
      <t>Q</t>
    </r>
    <r>
      <rPr>
        <vertAlign val="subscript"/>
        <sz val="10"/>
        <rFont val="Arial"/>
        <family val="2"/>
      </rPr>
      <t>xx</t>
    </r>
    <r>
      <rPr>
        <sz val="10"/>
        <rFont val="Arial"/>
        <family val="2"/>
      </rPr>
      <t xml:space="preserve"> = </t>
    </r>
  </si>
  <si>
    <r>
      <t>n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(t) = </t>
    </r>
  </si>
  <si>
    <r>
      <t>s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</t>
    </r>
  </si>
  <si>
    <r>
      <t>B</t>
    </r>
    <r>
      <rPr>
        <vertAlign val="subscript"/>
        <sz val="10"/>
        <rFont val="Arial"/>
        <family val="2"/>
      </rPr>
      <t xml:space="preserve"> =</t>
    </r>
    <r>
      <rPr>
        <sz val="10"/>
        <rFont val="Arial"/>
        <family val="2"/>
      </rPr>
      <t xml:space="preserve"> </t>
    </r>
  </si>
  <si>
    <r>
      <t>b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 </t>
    </r>
  </si>
  <si>
    <r>
      <t>b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 </t>
    </r>
  </si>
  <si>
    <r>
      <t>Schwellenwert t</t>
    </r>
    <r>
      <rPr>
        <vertAlign val="subscript"/>
        <sz val="10"/>
        <rFont val="Arial"/>
        <family val="2"/>
      </rPr>
      <t>f; G</t>
    </r>
    <r>
      <rPr>
        <sz val="10"/>
        <rFont val="Arial"/>
        <family val="2"/>
      </rPr>
      <t xml:space="preserve"> = </t>
    </r>
  </si>
  <si>
    <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b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</si>
  <si>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b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  <family val="2"/>
      </rPr>
      <t xml:space="preserve"> </t>
    </r>
  </si>
  <si>
    <t>VB der charakteristischen Lebensdauer:</t>
  </si>
  <si>
    <t>VB des Achsenabschnitts:</t>
  </si>
  <si>
    <t>VB der Steigung:</t>
  </si>
  <si>
    <t>Vertrauensbereiche (VB) der Parameter</t>
  </si>
  <si>
    <t>VB des Formparameters:</t>
  </si>
  <si>
    <r>
      <t xml:space="preserve"> </t>
    </r>
    <r>
      <rPr>
        <b/>
        <sz val="10"/>
        <rFont val="Symbol"/>
        <family val="1"/>
        <charset val="2"/>
      </rPr>
      <t>£</t>
    </r>
    <r>
      <rPr>
        <b/>
        <sz val="10"/>
        <rFont val="Arial"/>
        <family val="2"/>
      </rPr>
      <t xml:space="preserve"> </t>
    </r>
    <r>
      <rPr>
        <b/>
        <sz val="10"/>
        <rFont val="Arial"/>
        <family val="2"/>
      </rPr>
      <t>b</t>
    </r>
    <r>
      <rPr>
        <b/>
        <sz val="10"/>
        <rFont val="Arial"/>
        <family val="2"/>
      </rPr>
      <t xml:space="preserve"> </t>
    </r>
    <r>
      <rPr>
        <b/>
        <sz val="10"/>
        <rFont val="Symbol"/>
        <family val="1"/>
        <charset val="2"/>
      </rPr>
      <t>£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</si>
  <si>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Symbol"/>
        <family val="1"/>
        <charset val="2"/>
      </rPr>
      <t>£</t>
    </r>
    <r>
      <rPr>
        <b/>
        <sz val="10"/>
        <rFont val="Arial"/>
        <family val="2"/>
      </rPr>
      <t xml:space="preserve"> </t>
    </r>
    <r>
      <rPr>
        <b/>
        <sz val="10"/>
        <rFont val="Arial"/>
        <family val="2"/>
      </rPr>
      <t>T</t>
    </r>
    <r>
      <rPr>
        <b/>
        <sz val="10"/>
        <rFont val="Arial"/>
        <family val="2"/>
      </rPr>
      <t xml:space="preserve"> </t>
    </r>
    <r>
      <rPr>
        <b/>
        <sz val="10"/>
        <rFont val="Symbol"/>
        <family val="1"/>
        <charset val="2"/>
      </rPr>
      <t>£</t>
    </r>
    <r>
      <rPr>
        <b/>
        <sz val="10"/>
        <rFont val="Arial"/>
        <family val="2"/>
      </rPr>
      <t xml:space="preserve"> </t>
    </r>
  </si>
  <si>
    <t>Hinweis 1:</t>
  </si>
  <si>
    <t>Hinweis 2:</t>
  </si>
  <si>
    <t>x</t>
  </si>
  <si>
    <t>Hinweis:</t>
  </si>
  <si>
    <t>Hinweis 3:</t>
  </si>
  <si>
    <t>unterhalb</t>
  </si>
  <si>
    <t>Weiterführende Berechnungen mit den Kennwerten</t>
  </si>
  <si>
    <t>Druckwechsel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</si>
</sst>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%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sz val="14"/>
      <name val="Arial"/>
      <family val="2"/>
    </font>
    <font>
      <sz val="10"/>
      <color indexed="17"/>
      <name val="Arial"/>
      <family val="2"/>
    </font>
    <font>
      <sz val="10"/>
      <color indexed="17"/>
      <name val="Times New Roman"/>
      <family val="1"/>
    </font>
    <font>
      <vertAlign val="subscript"/>
      <sz val="10"/>
      <color indexed="17"/>
      <name val="Times New Roman"/>
      <family val="1"/>
    </font>
    <font>
      <b/>
      <sz val="10"/>
      <color indexed="17"/>
      <name val="Times New Roman"/>
      <family val="1"/>
    </font>
    <font>
      <sz val="10"/>
      <color indexed="17"/>
      <name val="Symbol"/>
      <family val="1"/>
      <charset val="2"/>
    </font>
    <font>
      <b/>
      <sz val="14"/>
      <color indexed="17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ymbol"/>
      <family val="1"/>
      <charset val="2"/>
    </font>
    <font>
      <vertAlign val="subscript"/>
      <sz val="8"/>
      <color indexed="81"/>
      <name val="Tahoma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Symbol"/>
      <family val="1"/>
      <charset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dotted">
        <color indexed="9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dotted">
        <color indexed="9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dotted">
        <color indexed="9"/>
      </bottom>
      <diagonal/>
    </border>
    <border>
      <left style="medium">
        <color indexed="17"/>
      </left>
      <right style="thin">
        <color indexed="17"/>
      </right>
      <top style="dotted">
        <color indexed="9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tted">
        <color indexed="9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dotted">
        <color indexed="9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42"/>
      </bottom>
      <diagonal/>
    </border>
    <border>
      <left style="thin">
        <color indexed="17"/>
      </left>
      <right style="thin">
        <color indexed="17"/>
      </right>
      <top style="thin">
        <color indexed="42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65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/>
    <xf numFmtId="166" fontId="0" fillId="0" borderId="0" xfId="0" applyNumberFormat="1"/>
    <xf numFmtId="164" fontId="0" fillId="0" borderId="0" xfId="0" applyNumberFormat="1"/>
    <xf numFmtId="167" fontId="0" fillId="0" borderId="0" xfId="1" applyNumberFormat="1" applyFont="1"/>
    <xf numFmtId="0" fontId="3" fillId="0" borderId="0" xfId="0" applyFont="1"/>
    <xf numFmtId="0" fontId="0" fillId="0" borderId="1" xfId="0" applyBorder="1"/>
    <xf numFmtId="165" fontId="0" fillId="0" borderId="2" xfId="0" applyNumberFormat="1" applyBorder="1"/>
    <xf numFmtId="164" fontId="0" fillId="0" borderId="1" xfId="0" applyNumberFormat="1" applyBorder="1"/>
    <xf numFmtId="0" fontId="0" fillId="0" borderId="3" xfId="0" applyBorder="1"/>
    <xf numFmtId="165" fontId="0" fillId="0" borderId="4" xfId="0" applyNumberFormat="1" applyBorder="1"/>
    <xf numFmtId="165" fontId="0" fillId="0" borderId="5" xfId="0" applyNumberFormat="1" applyBorder="1"/>
    <xf numFmtId="164" fontId="0" fillId="0" borderId="3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2" fontId="0" fillId="0" borderId="0" xfId="0" applyNumberFormat="1"/>
    <xf numFmtId="2" fontId="0" fillId="0" borderId="4" xfId="0" applyNumberFormat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165" fontId="0" fillId="0" borderId="10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0" fillId="0" borderId="0" xfId="0" applyNumberFormat="1"/>
    <xf numFmtId="0" fontId="8" fillId="0" borderId="0" xfId="0" applyFont="1"/>
    <xf numFmtId="0" fontId="10" fillId="0" borderId="11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4" fillId="0" borderId="12" xfId="0" applyFont="1" applyBorder="1"/>
    <xf numFmtId="2" fontId="4" fillId="0" borderId="12" xfId="0" applyNumberFormat="1" applyFont="1" applyBorder="1"/>
    <xf numFmtId="167" fontId="4" fillId="0" borderId="13" xfId="1" applyNumberFormat="1" applyFont="1" applyBorder="1"/>
    <xf numFmtId="0" fontId="10" fillId="0" borderId="14" xfId="0" applyFont="1" applyBorder="1"/>
    <xf numFmtId="0" fontId="4" fillId="0" borderId="15" xfId="0" applyFont="1" applyBorder="1"/>
    <xf numFmtId="2" fontId="4" fillId="0" borderId="15" xfId="0" applyNumberFormat="1" applyFont="1" applyBorder="1"/>
    <xf numFmtId="167" fontId="4" fillId="0" borderId="16" xfId="1" applyNumberFormat="1" applyFont="1" applyBorder="1"/>
    <xf numFmtId="0" fontId="10" fillId="0" borderId="17" xfId="0" applyFont="1" applyBorder="1"/>
    <xf numFmtId="0" fontId="12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/>
    <xf numFmtId="0" fontId="10" fillId="0" borderId="14" xfId="0" quotePrefix="1" applyFont="1" applyBorder="1" applyAlignment="1">
      <alignment horizontal="center"/>
    </xf>
    <xf numFmtId="0" fontId="10" fillId="0" borderId="15" xfId="0" quotePrefix="1" applyFont="1" applyBorder="1" applyAlignment="1">
      <alignment horizontal="center"/>
    </xf>
    <xf numFmtId="0" fontId="10" fillId="0" borderId="16" xfId="0" quotePrefix="1" applyFont="1" applyBorder="1" applyAlignment="1">
      <alignment horizontal="center"/>
    </xf>
    <xf numFmtId="0" fontId="10" fillId="3" borderId="15" xfId="0" quotePrefix="1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5" xfId="0" applyFont="1" applyFill="1" applyBorder="1"/>
    <xf numFmtId="0" fontId="10" fillId="3" borderId="18" xfId="0" applyFont="1" applyFill="1" applyBorder="1"/>
    <xf numFmtId="2" fontId="4" fillId="3" borderId="12" xfId="0" applyNumberFormat="1" applyFont="1" applyFill="1" applyBorder="1"/>
    <xf numFmtId="2" fontId="4" fillId="3" borderId="15" xfId="0" applyNumberFormat="1" applyFont="1" applyFill="1" applyBorder="1"/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4" fillId="0" borderId="18" xfId="0" applyFont="1" applyBorder="1"/>
    <xf numFmtId="0" fontId="0" fillId="0" borderId="22" xfId="0" applyBorder="1"/>
    <xf numFmtId="164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23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1" fillId="0" borderId="23" xfId="0" applyFont="1" applyBorder="1"/>
    <xf numFmtId="0" fontId="0" fillId="0" borderId="23" xfId="0" applyBorder="1"/>
    <xf numFmtId="0" fontId="10" fillId="0" borderId="26" xfId="0" applyFont="1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1" fontId="0" fillId="0" borderId="7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0" xfId="1" applyNumberFormat="1" applyFont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37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4" fontId="5" fillId="2" borderId="12" xfId="0" applyNumberFormat="1" applyFont="1" applyFill="1" applyBorder="1" applyAlignment="1" applyProtection="1">
      <alignment horizontal="center"/>
      <protection locked="0"/>
    </xf>
    <xf numFmtId="0" fontId="10" fillId="0" borderId="37" xfId="0" applyFont="1" applyBorder="1" applyAlignment="1">
      <alignment horizontal="center" vertical="top" wrapText="1"/>
    </xf>
    <xf numFmtId="0" fontId="10" fillId="0" borderId="38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top" wrapText="1"/>
    </xf>
    <xf numFmtId="0" fontId="10" fillId="3" borderId="44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0" fillId="0" borderId="26" xfId="0" quotePrefix="1" applyFont="1" applyBorder="1" applyAlignment="1">
      <alignment horizontal="right"/>
    </xf>
    <xf numFmtId="0" fontId="10" fillId="0" borderId="25" xfId="0" quotePrefix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1" fontId="7" fillId="0" borderId="45" xfId="0" applyNumberFormat="1" applyFont="1" applyBorder="1" applyAlignment="1">
      <alignment horizontal="center"/>
    </xf>
    <xf numFmtId="2" fontId="5" fillId="4" borderId="46" xfId="0" applyNumberFormat="1" applyFont="1" applyFill="1" applyBorder="1" applyAlignment="1">
      <alignment horizontal="right"/>
    </xf>
    <xf numFmtId="164" fontId="5" fillId="4" borderId="21" xfId="0" applyNumberFormat="1" applyFont="1" applyFill="1" applyBorder="1"/>
    <xf numFmtId="164" fontId="5" fillId="4" borderId="18" xfId="0" applyNumberFormat="1" applyFont="1" applyFill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quotePrefix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2" fontId="10" fillId="0" borderId="0" xfId="0" quotePrefix="1" applyNumberFormat="1" applyFont="1" applyAlignment="1">
      <alignment horizontal="left" vertical="center"/>
    </xf>
    <xf numFmtId="2" fontId="10" fillId="0" borderId="23" xfId="0" quotePrefix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6" fontId="5" fillId="0" borderId="0" xfId="0" applyNumberFormat="1" applyFont="1" applyAlignment="1" applyProtection="1">
      <alignment horizontal="right" vertical="center"/>
      <protection locked="0"/>
    </xf>
    <xf numFmtId="166" fontId="4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164" fontId="5" fillId="0" borderId="0" xfId="0" applyNumberFormat="1" applyFont="1" applyAlignment="1">
      <alignment horizontal="right"/>
    </xf>
    <xf numFmtId="164" fontId="5" fillId="0" borderId="23" xfId="0" applyNumberFormat="1" applyFont="1" applyBorder="1" applyAlignment="1">
      <alignment horizontal="right"/>
    </xf>
    <xf numFmtId="167" fontId="5" fillId="3" borderId="0" xfId="1" applyNumberFormat="1" applyFont="1" applyFill="1"/>
    <xf numFmtId="11" fontId="5" fillId="3" borderId="0" xfId="0" applyNumberFormat="1" applyFont="1" applyFill="1"/>
    <xf numFmtId="0" fontId="0" fillId="0" borderId="0" xfId="0" quotePrefix="1"/>
    <xf numFmtId="0" fontId="0" fillId="0" borderId="33" xfId="0" applyBorder="1" applyAlignment="1">
      <alignment horizontal="right"/>
    </xf>
    <xf numFmtId="167" fontId="5" fillId="3" borderId="0" xfId="0" applyNumberFormat="1" applyFont="1" applyFill="1"/>
    <xf numFmtId="0" fontId="0" fillId="0" borderId="47" xfId="0" applyBorder="1"/>
    <xf numFmtId="0" fontId="0" fillId="0" borderId="48" xfId="0" applyBorder="1"/>
    <xf numFmtId="0" fontId="20" fillId="0" borderId="28" xfId="0" applyFont="1" applyBorder="1"/>
    <xf numFmtId="0" fontId="19" fillId="0" borderId="33" xfId="0" applyFont="1" applyBorder="1"/>
    <xf numFmtId="0" fontId="0" fillId="0" borderId="33" xfId="0" quotePrefix="1" applyBorder="1" applyAlignment="1">
      <alignment horizontal="right"/>
    </xf>
    <xf numFmtId="2" fontId="5" fillId="3" borderId="0" xfId="0" applyNumberFormat="1" applyFont="1" applyFill="1"/>
    <xf numFmtId="164" fontId="5" fillId="3" borderId="0" xfId="1" applyNumberFormat="1" applyFont="1" applyFill="1"/>
    <xf numFmtId="0" fontId="0" fillId="0" borderId="33" xfId="0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left"/>
    </xf>
    <xf numFmtId="2" fontId="1" fillId="3" borderId="0" xfId="0" applyNumberFormat="1" applyFont="1" applyFill="1"/>
    <xf numFmtId="0" fontId="1" fillId="3" borderId="0" xfId="0" applyFont="1" applyFill="1" applyAlignment="1">
      <alignment horizontal="center"/>
    </xf>
    <xf numFmtId="2" fontId="1" fillId="3" borderId="0" xfId="0" applyNumberFormat="1" applyFont="1" applyFill="1" applyAlignment="1">
      <alignment horizontal="left"/>
    </xf>
    <xf numFmtId="0" fontId="5" fillId="0" borderId="0" xfId="0" applyFont="1"/>
    <xf numFmtId="0" fontId="0" fillId="0" borderId="10" xfId="0" applyBorder="1" applyAlignment="1">
      <alignment horizontal="center"/>
    </xf>
    <xf numFmtId="0" fontId="22" fillId="0" borderId="0" xfId="0" applyFont="1"/>
    <xf numFmtId="1" fontId="0" fillId="0" borderId="0" xfId="0" applyNumberFormat="1"/>
    <xf numFmtId="1" fontId="0" fillId="0" borderId="49" xfId="0" applyNumberForma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20" fillId="0" borderId="0" xfId="0" applyFont="1"/>
    <xf numFmtId="0" fontId="2" fillId="2" borderId="0" xfId="0" applyFont="1" applyFill="1" applyAlignment="1" applyProtection="1">
      <alignment horizontal="left"/>
      <protection locked="0"/>
    </xf>
    <xf numFmtId="0" fontId="14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FFCC66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 sz="1400" b="1" i="0" u="none" strike="noStrike" baseline="0">
                <a:solidFill>
                  <a:srgbClr val="008000"/>
                </a:solidFill>
                <a:latin typeface="Times New Roman"/>
                <a:cs typeface="Times New Roman"/>
              </a:rPr>
              <a:t>Das Lebensdauernetz</a:t>
            </a:r>
            <a:endParaRPr lang="de-DE" sz="1200" b="1" i="0" u="none" strike="noStrike" baseline="0">
              <a:solidFill>
                <a:srgbClr val="008000"/>
              </a:solidFill>
              <a:latin typeface="Times New Roman"/>
              <a:cs typeface="Times New Roman"/>
            </a:endParaRPr>
          </a:p>
          <a:p>
            <a:pPr>
              <a:defRPr sz="1400" b="1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 sz="1200" b="1" i="0" u="none" strike="noStrike" baseline="0">
                <a:solidFill>
                  <a:srgbClr val="008000"/>
                </a:solidFill>
                <a:latin typeface="Times New Roman"/>
                <a:cs typeface="Times New Roman"/>
              </a:rPr>
              <a:t>Wahrscheinlichkeitsnetz für die Weibullverteilung</a:t>
            </a:r>
          </a:p>
        </c:rich>
      </c:tx>
      <c:layout>
        <c:manualLayout>
          <c:xMode val="edge"/>
          <c:yMode val="edge"/>
          <c:x val="0.23008849557522121"/>
          <c:y val="1.9930675909878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3046776232616"/>
          <c:y val="0.11178509532062389"/>
          <c:w val="0.85208596713021478"/>
          <c:h val="0.742634315424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'LN-Transfer'!$A$17</c:f>
              <c:strCache>
                <c:ptCount val="1"/>
                <c:pt idx="0">
                  <c:v>transformierte Lebensdauern (t – 10) in 10^4 Druckwechsel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'LN-Transfer'!$C$20:$C$119</c:f>
              <c:numCache>
                <c:formatCode>General</c:formatCode>
                <c:ptCount val="100"/>
                <c:pt idx="0">
                  <c:v>1.7384999999999999</c:v>
                </c:pt>
                <c:pt idx="1">
                  <c:v>5.5507999999999997</c:v>
                </c:pt>
                <c:pt idx="2">
                  <c:v>7.4843999999999999</c:v>
                </c:pt>
                <c:pt idx="3">
                  <c:v>9.7734000000000005</c:v>
                </c:pt>
                <c:pt idx="4">
                  <c:v>13.9329</c:v>
                </c:pt>
                <c:pt idx="5">
                  <c:v>14.818199999999999</c:v>
                </c:pt>
                <c:pt idx="6">
                  <c:v>18.2484</c:v>
                </c:pt>
                <c:pt idx="7">
                  <c:v>26.945</c:v>
                </c:pt>
                <c:pt idx="8">
                  <c:v>34.0488</c:v>
                </c:pt>
                <c:pt idx="9">
                  <c:v>35.349800000000002</c:v>
                </c:pt>
                <c:pt idx="10">
                  <c:v>65.156800000000004</c:v>
                </c:pt>
                <c:pt idx="11">
                  <c:v>112.99</c:v>
                </c:pt>
                <c:pt idx="12">
                  <c:v>112.99</c:v>
                </c:pt>
                <c:pt idx="13">
                  <c:v>112.99</c:v>
                </c:pt>
                <c:pt idx="14">
                  <c:v>112.99</c:v>
                </c:pt>
                <c:pt idx="15">
                  <c:v>112.99</c:v>
                </c:pt>
                <c:pt idx="16">
                  <c:v>112.99</c:v>
                </c:pt>
                <c:pt idx="17">
                  <c:v>112.99</c:v>
                </c:pt>
                <c:pt idx="18">
                  <c:v>112.99</c:v>
                </c:pt>
                <c:pt idx="19">
                  <c:v>112.99</c:v>
                </c:pt>
                <c:pt idx="20">
                  <c:v>112.99</c:v>
                </c:pt>
                <c:pt idx="21">
                  <c:v>112.99</c:v>
                </c:pt>
                <c:pt idx="22">
                  <c:v>112.99</c:v>
                </c:pt>
                <c:pt idx="23">
                  <c:v>112.99</c:v>
                </c:pt>
                <c:pt idx="24">
                  <c:v>112.99</c:v>
                </c:pt>
                <c:pt idx="25">
                  <c:v>112.99</c:v>
                </c:pt>
                <c:pt idx="26">
                  <c:v>112.99</c:v>
                </c:pt>
                <c:pt idx="27">
                  <c:v>112.99</c:v>
                </c:pt>
                <c:pt idx="28">
                  <c:v>112.99</c:v>
                </c:pt>
                <c:pt idx="29">
                  <c:v>112.99</c:v>
                </c:pt>
                <c:pt idx="30">
                  <c:v>112.99</c:v>
                </c:pt>
                <c:pt idx="31">
                  <c:v>112.99</c:v>
                </c:pt>
                <c:pt idx="32">
                  <c:v>112.99</c:v>
                </c:pt>
                <c:pt idx="33">
                  <c:v>112.99</c:v>
                </c:pt>
                <c:pt idx="34">
                  <c:v>112.99</c:v>
                </c:pt>
                <c:pt idx="35">
                  <c:v>112.99</c:v>
                </c:pt>
                <c:pt idx="36">
                  <c:v>112.99</c:v>
                </c:pt>
                <c:pt idx="37">
                  <c:v>112.99</c:v>
                </c:pt>
                <c:pt idx="38">
                  <c:v>112.99</c:v>
                </c:pt>
                <c:pt idx="39">
                  <c:v>112.99</c:v>
                </c:pt>
                <c:pt idx="40">
                  <c:v>112.99</c:v>
                </c:pt>
                <c:pt idx="41">
                  <c:v>112.99</c:v>
                </c:pt>
                <c:pt idx="42">
                  <c:v>112.99</c:v>
                </c:pt>
                <c:pt idx="43">
                  <c:v>112.99</c:v>
                </c:pt>
                <c:pt idx="44">
                  <c:v>112.99</c:v>
                </c:pt>
                <c:pt idx="45">
                  <c:v>112.99</c:v>
                </c:pt>
                <c:pt idx="46">
                  <c:v>112.99</c:v>
                </c:pt>
                <c:pt idx="47">
                  <c:v>112.99</c:v>
                </c:pt>
                <c:pt idx="48">
                  <c:v>112.99</c:v>
                </c:pt>
                <c:pt idx="49">
                  <c:v>112.99</c:v>
                </c:pt>
                <c:pt idx="50">
                  <c:v>112.99</c:v>
                </c:pt>
                <c:pt idx="51">
                  <c:v>112.99</c:v>
                </c:pt>
                <c:pt idx="52">
                  <c:v>112.99</c:v>
                </c:pt>
                <c:pt idx="53">
                  <c:v>112.99</c:v>
                </c:pt>
                <c:pt idx="54">
                  <c:v>112.99</c:v>
                </c:pt>
                <c:pt idx="55">
                  <c:v>112.99</c:v>
                </c:pt>
                <c:pt idx="56">
                  <c:v>112.99</c:v>
                </c:pt>
                <c:pt idx="57">
                  <c:v>112.99</c:v>
                </c:pt>
                <c:pt idx="58">
                  <c:v>112.99</c:v>
                </c:pt>
                <c:pt idx="59">
                  <c:v>112.99</c:v>
                </c:pt>
                <c:pt idx="60">
                  <c:v>112.99</c:v>
                </c:pt>
                <c:pt idx="61">
                  <c:v>112.99</c:v>
                </c:pt>
                <c:pt idx="62">
                  <c:v>112.99</c:v>
                </c:pt>
                <c:pt idx="63">
                  <c:v>112.99</c:v>
                </c:pt>
                <c:pt idx="64">
                  <c:v>112.99</c:v>
                </c:pt>
                <c:pt idx="65">
                  <c:v>112.99</c:v>
                </c:pt>
                <c:pt idx="66">
                  <c:v>112.99</c:v>
                </c:pt>
                <c:pt idx="67">
                  <c:v>112.99</c:v>
                </c:pt>
                <c:pt idx="68">
                  <c:v>112.99</c:v>
                </c:pt>
                <c:pt idx="69">
                  <c:v>112.99</c:v>
                </c:pt>
                <c:pt idx="70">
                  <c:v>112.99</c:v>
                </c:pt>
                <c:pt idx="71">
                  <c:v>112.99</c:v>
                </c:pt>
                <c:pt idx="72">
                  <c:v>112.99</c:v>
                </c:pt>
                <c:pt idx="73">
                  <c:v>112.99</c:v>
                </c:pt>
                <c:pt idx="74">
                  <c:v>112.99</c:v>
                </c:pt>
                <c:pt idx="75">
                  <c:v>112.99</c:v>
                </c:pt>
                <c:pt idx="76">
                  <c:v>112.99</c:v>
                </c:pt>
                <c:pt idx="77">
                  <c:v>112.99</c:v>
                </c:pt>
                <c:pt idx="78">
                  <c:v>112.99</c:v>
                </c:pt>
                <c:pt idx="79">
                  <c:v>112.99</c:v>
                </c:pt>
                <c:pt idx="80">
                  <c:v>112.99</c:v>
                </c:pt>
                <c:pt idx="81">
                  <c:v>112.99</c:v>
                </c:pt>
                <c:pt idx="82">
                  <c:v>112.99</c:v>
                </c:pt>
                <c:pt idx="83">
                  <c:v>112.99</c:v>
                </c:pt>
                <c:pt idx="84">
                  <c:v>112.99</c:v>
                </c:pt>
                <c:pt idx="85">
                  <c:v>112.99</c:v>
                </c:pt>
                <c:pt idx="86">
                  <c:v>112.99</c:v>
                </c:pt>
                <c:pt idx="87">
                  <c:v>112.99</c:v>
                </c:pt>
                <c:pt idx="88">
                  <c:v>112.99</c:v>
                </c:pt>
                <c:pt idx="89">
                  <c:v>112.99</c:v>
                </c:pt>
                <c:pt idx="90">
                  <c:v>112.99</c:v>
                </c:pt>
                <c:pt idx="91">
                  <c:v>112.99</c:v>
                </c:pt>
                <c:pt idx="92">
                  <c:v>112.99</c:v>
                </c:pt>
                <c:pt idx="93">
                  <c:v>112.99</c:v>
                </c:pt>
                <c:pt idx="94">
                  <c:v>112.99</c:v>
                </c:pt>
                <c:pt idx="95">
                  <c:v>112.99</c:v>
                </c:pt>
                <c:pt idx="96">
                  <c:v>112.99</c:v>
                </c:pt>
                <c:pt idx="97">
                  <c:v>112.99</c:v>
                </c:pt>
                <c:pt idx="98">
                  <c:v>112.99</c:v>
                </c:pt>
                <c:pt idx="99">
                  <c:v>112.99</c:v>
                </c:pt>
              </c:numCache>
            </c:numRef>
          </c:xVal>
          <c:yVal>
            <c:numRef>
              <c:f>'LN-Transfer'!$D$20:$D$119</c:f>
              <c:numCache>
                <c:formatCode>0.000</c:formatCode>
                <c:ptCount val="100"/>
                <c:pt idx="0">
                  <c:v>-3.5445667509296084</c:v>
                </c:pt>
                <c:pt idx="1">
                  <c:v>-2.6388379735035676</c:v>
                </c:pt>
                <c:pt idx="2">
                  <c:v>-2.1508435771271244</c:v>
                </c:pt>
                <c:pt idx="3">
                  <c:v>-1.8106154809403505</c:v>
                </c:pt>
                <c:pt idx="4">
                  <c:v>-1.5341319533243423</c:v>
                </c:pt>
                <c:pt idx="5">
                  <c:v>-1.3070458819905748</c:v>
                </c:pt>
                <c:pt idx="6">
                  <c:v>-1.101606680299362</c:v>
                </c:pt>
                <c:pt idx="7">
                  <c:v>-0.90964030242515115</c:v>
                </c:pt>
                <c:pt idx="8">
                  <c:v>-0.61787047802593886</c:v>
                </c:pt>
                <c:pt idx="9">
                  <c:v>-0.36080000159481967</c:v>
                </c:pt>
                <c:pt idx="10">
                  <c:v>0.10997993781965529</c:v>
                </c:pt>
                <c:pt idx="11">
                  <c:v>0.61580088767544028</c:v>
                </c:pt>
                <c:pt idx="12">
                  <c:v>0.61580088767544028</c:v>
                </c:pt>
                <c:pt idx="13">
                  <c:v>0.61580088767544028</c:v>
                </c:pt>
                <c:pt idx="14">
                  <c:v>0.61580088767544028</c:v>
                </c:pt>
                <c:pt idx="15">
                  <c:v>0.61580088767544028</c:v>
                </c:pt>
                <c:pt idx="16">
                  <c:v>0.61580088767544028</c:v>
                </c:pt>
                <c:pt idx="17">
                  <c:v>0.61580088767544028</c:v>
                </c:pt>
                <c:pt idx="18">
                  <c:v>0.61580088767544028</c:v>
                </c:pt>
                <c:pt idx="19">
                  <c:v>0.61580088767544028</c:v>
                </c:pt>
                <c:pt idx="20">
                  <c:v>0.61580088767544028</c:v>
                </c:pt>
                <c:pt idx="21">
                  <c:v>0.61580088767544028</c:v>
                </c:pt>
                <c:pt idx="22">
                  <c:v>0.61580088767544028</c:v>
                </c:pt>
                <c:pt idx="23">
                  <c:v>0.61580088767544028</c:v>
                </c:pt>
                <c:pt idx="24">
                  <c:v>0.61580088767544028</c:v>
                </c:pt>
                <c:pt idx="25">
                  <c:v>0.61580088767544028</c:v>
                </c:pt>
                <c:pt idx="26">
                  <c:v>0.61580088767544028</c:v>
                </c:pt>
                <c:pt idx="27">
                  <c:v>0.61580088767544028</c:v>
                </c:pt>
                <c:pt idx="28">
                  <c:v>0.61580088767544028</c:v>
                </c:pt>
                <c:pt idx="29">
                  <c:v>0.61580088767544028</c:v>
                </c:pt>
                <c:pt idx="30">
                  <c:v>0.61580088767544028</c:v>
                </c:pt>
                <c:pt idx="31">
                  <c:v>0.61580088767544028</c:v>
                </c:pt>
                <c:pt idx="32">
                  <c:v>0.61580088767544028</c:v>
                </c:pt>
                <c:pt idx="33">
                  <c:v>0.61580088767544028</c:v>
                </c:pt>
                <c:pt idx="34">
                  <c:v>0.61580088767544028</c:v>
                </c:pt>
                <c:pt idx="35">
                  <c:v>0.61580088767544028</c:v>
                </c:pt>
                <c:pt idx="36">
                  <c:v>0.61580088767544028</c:v>
                </c:pt>
                <c:pt idx="37">
                  <c:v>0.61580088767544028</c:v>
                </c:pt>
                <c:pt idx="38">
                  <c:v>0.61580088767544028</c:v>
                </c:pt>
                <c:pt idx="39">
                  <c:v>0.61580088767544028</c:v>
                </c:pt>
                <c:pt idx="40">
                  <c:v>0.61580088767544028</c:v>
                </c:pt>
                <c:pt idx="41">
                  <c:v>0.61580088767544028</c:v>
                </c:pt>
                <c:pt idx="42">
                  <c:v>0.61580088767544028</c:v>
                </c:pt>
                <c:pt idx="43">
                  <c:v>0.61580088767544028</c:v>
                </c:pt>
                <c:pt idx="44">
                  <c:v>0.61580088767544028</c:v>
                </c:pt>
                <c:pt idx="45">
                  <c:v>0.61580088767544028</c:v>
                </c:pt>
                <c:pt idx="46">
                  <c:v>0.61580088767544028</c:v>
                </c:pt>
                <c:pt idx="47">
                  <c:v>0.61580088767544028</c:v>
                </c:pt>
                <c:pt idx="48">
                  <c:v>0.61580088767544028</c:v>
                </c:pt>
                <c:pt idx="49">
                  <c:v>0.61580088767544028</c:v>
                </c:pt>
                <c:pt idx="50">
                  <c:v>0.61580088767544028</c:v>
                </c:pt>
                <c:pt idx="51">
                  <c:v>0.61580088767544028</c:v>
                </c:pt>
                <c:pt idx="52">
                  <c:v>0.61580088767544028</c:v>
                </c:pt>
                <c:pt idx="53">
                  <c:v>0.61580088767544028</c:v>
                </c:pt>
                <c:pt idx="54">
                  <c:v>0.61580088767544028</c:v>
                </c:pt>
                <c:pt idx="55">
                  <c:v>0.61580088767544028</c:v>
                </c:pt>
                <c:pt idx="56">
                  <c:v>0.61580088767544028</c:v>
                </c:pt>
                <c:pt idx="57">
                  <c:v>0.61580088767544028</c:v>
                </c:pt>
                <c:pt idx="58">
                  <c:v>0.61580088767544028</c:v>
                </c:pt>
                <c:pt idx="59">
                  <c:v>0.61580088767544028</c:v>
                </c:pt>
                <c:pt idx="60">
                  <c:v>0.61580088767544028</c:v>
                </c:pt>
                <c:pt idx="61">
                  <c:v>0.61580088767544028</c:v>
                </c:pt>
                <c:pt idx="62">
                  <c:v>0.61580088767544028</c:v>
                </c:pt>
                <c:pt idx="63">
                  <c:v>0.61580088767544028</c:v>
                </c:pt>
                <c:pt idx="64">
                  <c:v>0.61580088767544028</c:v>
                </c:pt>
                <c:pt idx="65">
                  <c:v>0.61580088767544028</c:v>
                </c:pt>
                <c:pt idx="66">
                  <c:v>0.61580088767544028</c:v>
                </c:pt>
                <c:pt idx="67">
                  <c:v>0.61580088767544028</c:v>
                </c:pt>
                <c:pt idx="68">
                  <c:v>0.61580088767544028</c:v>
                </c:pt>
                <c:pt idx="69">
                  <c:v>0.61580088767544028</c:v>
                </c:pt>
                <c:pt idx="70">
                  <c:v>0.61580088767544028</c:v>
                </c:pt>
                <c:pt idx="71">
                  <c:v>0.61580088767544028</c:v>
                </c:pt>
                <c:pt idx="72">
                  <c:v>0.61580088767544028</c:v>
                </c:pt>
                <c:pt idx="73">
                  <c:v>0.61580088767544028</c:v>
                </c:pt>
                <c:pt idx="74">
                  <c:v>0.61580088767544028</c:v>
                </c:pt>
                <c:pt idx="75">
                  <c:v>0.61580088767544028</c:v>
                </c:pt>
                <c:pt idx="76">
                  <c:v>0.61580088767544028</c:v>
                </c:pt>
                <c:pt idx="77">
                  <c:v>0.61580088767544028</c:v>
                </c:pt>
                <c:pt idx="78">
                  <c:v>0.61580088767544028</c:v>
                </c:pt>
                <c:pt idx="79">
                  <c:v>0.61580088767544028</c:v>
                </c:pt>
                <c:pt idx="80">
                  <c:v>0.61580088767544028</c:v>
                </c:pt>
                <c:pt idx="81">
                  <c:v>0.61580088767544028</c:v>
                </c:pt>
                <c:pt idx="82">
                  <c:v>0.61580088767544028</c:v>
                </c:pt>
                <c:pt idx="83">
                  <c:v>0.61580088767544028</c:v>
                </c:pt>
                <c:pt idx="84">
                  <c:v>0.61580088767544028</c:v>
                </c:pt>
                <c:pt idx="85">
                  <c:v>0.61580088767544028</c:v>
                </c:pt>
                <c:pt idx="86">
                  <c:v>0.61580088767544028</c:v>
                </c:pt>
                <c:pt idx="87">
                  <c:v>0.61580088767544028</c:v>
                </c:pt>
                <c:pt idx="88">
                  <c:v>0.61580088767544028</c:v>
                </c:pt>
                <c:pt idx="89">
                  <c:v>0.61580088767544028</c:v>
                </c:pt>
                <c:pt idx="90">
                  <c:v>0.61580088767544028</c:v>
                </c:pt>
                <c:pt idx="91">
                  <c:v>0.61580088767544028</c:v>
                </c:pt>
                <c:pt idx="92">
                  <c:v>0.61580088767544028</c:v>
                </c:pt>
                <c:pt idx="93">
                  <c:v>0.61580088767544028</c:v>
                </c:pt>
                <c:pt idx="94">
                  <c:v>0.61580088767544028</c:v>
                </c:pt>
                <c:pt idx="95">
                  <c:v>0.61580088767544028</c:v>
                </c:pt>
                <c:pt idx="96">
                  <c:v>0.61580088767544028</c:v>
                </c:pt>
                <c:pt idx="97">
                  <c:v>0.61580088767544028</c:v>
                </c:pt>
                <c:pt idx="98">
                  <c:v>0.61580088767544028</c:v>
                </c:pt>
                <c:pt idx="99">
                  <c:v>0.61580088767544028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05-4632-99A6-92033200ACD1}"/>
            </c:ext>
          </c:extLst>
        </c:ser>
        <c:ser>
          <c:idx val="5"/>
          <c:order val="1"/>
          <c:tx>
            <c:strRef>
              <c:f>'LN-Transfer'!$A$16</c:f>
              <c:strCache>
                <c:ptCount val="1"/>
                <c:pt idx="0">
                  <c:v>Lebensdauern t in 10^4 Druckwechsel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'LN-Transfer'!$B$20:$B$119</c:f>
              <c:numCache>
                <c:formatCode>General</c:formatCode>
                <c:ptCount val="100"/>
                <c:pt idx="0">
                  <c:v>11.7385</c:v>
                </c:pt>
                <c:pt idx="1">
                  <c:v>15.550800000000001</c:v>
                </c:pt>
                <c:pt idx="2">
                  <c:v>17.484400000000001</c:v>
                </c:pt>
                <c:pt idx="3">
                  <c:v>19.773399999999999</c:v>
                </c:pt>
                <c:pt idx="4">
                  <c:v>23.9329</c:v>
                </c:pt>
                <c:pt idx="5">
                  <c:v>24.818200000000001</c:v>
                </c:pt>
                <c:pt idx="6">
                  <c:v>28.2484</c:v>
                </c:pt>
                <c:pt idx="7">
                  <c:v>36.945</c:v>
                </c:pt>
                <c:pt idx="8">
                  <c:v>44.0488</c:v>
                </c:pt>
                <c:pt idx="9">
                  <c:v>45.349800000000002</c:v>
                </c:pt>
                <c:pt idx="10">
                  <c:v>75.156800000000004</c:v>
                </c:pt>
                <c:pt idx="11">
                  <c:v>122.99</c:v>
                </c:pt>
                <c:pt idx="12">
                  <c:v>122.99</c:v>
                </c:pt>
                <c:pt idx="13">
                  <c:v>122.99</c:v>
                </c:pt>
                <c:pt idx="14">
                  <c:v>122.99</c:v>
                </c:pt>
                <c:pt idx="15">
                  <c:v>122.99</c:v>
                </c:pt>
                <c:pt idx="16">
                  <c:v>122.99</c:v>
                </c:pt>
                <c:pt idx="17">
                  <c:v>122.99</c:v>
                </c:pt>
                <c:pt idx="18">
                  <c:v>122.99</c:v>
                </c:pt>
                <c:pt idx="19">
                  <c:v>122.99</c:v>
                </c:pt>
                <c:pt idx="20">
                  <c:v>122.99</c:v>
                </c:pt>
                <c:pt idx="21">
                  <c:v>122.99</c:v>
                </c:pt>
                <c:pt idx="22">
                  <c:v>122.99</c:v>
                </c:pt>
                <c:pt idx="23">
                  <c:v>122.99</c:v>
                </c:pt>
                <c:pt idx="24">
                  <c:v>122.99</c:v>
                </c:pt>
                <c:pt idx="25">
                  <c:v>122.99</c:v>
                </c:pt>
                <c:pt idx="26">
                  <c:v>122.99</c:v>
                </c:pt>
                <c:pt idx="27">
                  <c:v>122.99</c:v>
                </c:pt>
                <c:pt idx="28">
                  <c:v>122.99</c:v>
                </c:pt>
                <c:pt idx="29">
                  <c:v>122.99</c:v>
                </c:pt>
                <c:pt idx="30">
                  <c:v>122.99</c:v>
                </c:pt>
                <c:pt idx="31">
                  <c:v>122.99</c:v>
                </c:pt>
                <c:pt idx="32">
                  <c:v>122.99</c:v>
                </c:pt>
                <c:pt idx="33">
                  <c:v>122.99</c:v>
                </c:pt>
                <c:pt idx="34">
                  <c:v>122.99</c:v>
                </c:pt>
                <c:pt idx="35">
                  <c:v>122.99</c:v>
                </c:pt>
                <c:pt idx="36">
                  <c:v>122.99</c:v>
                </c:pt>
                <c:pt idx="37">
                  <c:v>122.99</c:v>
                </c:pt>
                <c:pt idx="38">
                  <c:v>122.99</c:v>
                </c:pt>
                <c:pt idx="39">
                  <c:v>122.99</c:v>
                </c:pt>
                <c:pt idx="40">
                  <c:v>122.99</c:v>
                </c:pt>
                <c:pt idx="41">
                  <c:v>122.99</c:v>
                </c:pt>
                <c:pt idx="42">
                  <c:v>122.99</c:v>
                </c:pt>
                <c:pt idx="43">
                  <c:v>122.99</c:v>
                </c:pt>
                <c:pt idx="44">
                  <c:v>122.99</c:v>
                </c:pt>
                <c:pt idx="45">
                  <c:v>122.99</c:v>
                </c:pt>
                <c:pt idx="46">
                  <c:v>122.99</c:v>
                </c:pt>
                <c:pt idx="47">
                  <c:v>122.99</c:v>
                </c:pt>
                <c:pt idx="48">
                  <c:v>122.99</c:v>
                </c:pt>
                <c:pt idx="49">
                  <c:v>122.99</c:v>
                </c:pt>
                <c:pt idx="50">
                  <c:v>122.99</c:v>
                </c:pt>
                <c:pt idx="51">
                  <c:v>122.99</c:v>
                </c:pt>
                <c:pt idx="52">
                  <c:v>122.99</c:v>
                </c:pt>
                <c:pt idx="53">
                  <c:v>122.99</c:v>
                </c:pt>
                <c:pt idx="54">
                  <c:v>122.99</c:v>
                </c:pt>
                <c:pt idx="55">
                  <c:v>122.99</c:v>
                </c:pt>
                <c:pt idx="56">
                  <c:v>122.99</c:v>
                </c:pt>
                <c:pt idx="57">
                  <c:v>122.99</c:v>
                </c:pt>
                <c:pt idx="58">
                  <c:v>122.99</c:v>
                </c:pt>
                <c:pt idx="59">
                  <c:v>122.99</c:v>
                </c:pt>
                <c:pt idx="60">
                  <c:v>122.99</c:v>
                </c:pt>
                <c:pt idx="61">
                  <c:v>122.99</c:v>
                </c:pt>
                <c:pt idx="62">
                  <c:v>122.99</c:v>
                </c:pt>
                <c:pt idx="63">
                  <c:v>122.99</c:v>
                </c:pt>
                <c:pt idx="64">
                  <c:v>122.99</c:v>
                </c:pt>
                <c:pt idx="65">
                  <c:v>122.99</c:v>
                </c:pt>
                <c:pt idx="66">
                  <c:v>122.99</c:v>
                </c:pt>
                <c:pt idx="67">
                  <c:v>122.99</c:v>
                </c:pt>
                <c:pt idx="68">
                  <c:v>122.99</c:v>
                </c:pt>
                <c:pt idx="69">
                  <c:v>122.99</c:v>
                </c:pt>
                <c:pt idx="70">
                  <c:v>122.99</c:v>
                </c:pt>
                <c:pt idx="71">
                  <c:v>122.99</c:v>
                </c:pt>
                <c:pt idx="72">
                  <c:v>122.99</c:v>
                </c:pt>
                <c:pt idx="73">
                  <c:v>122.99</c:v>
                </c:pt>
                <c:pt idx="74">
                  <c:v>122.99</c:v>
                </c:pt>
                <c:pt idx="75">
                  <c:v>122.99</c:v>
                </c:pt>
                <c:pt idx="76">
                  <c:v>122.99</c:v>
                </c:pt>
                <c:pt idx="77">
                  <c:v>122.99</c:v>
                </c:pt>
                <c:pt idx="78">
                  <c:v>122.99</c:v>
                </c:pt>
                <c:pt idx="79">
                  <c:v>122.99</c:v>
                </c:pt>
                <c:pt idx="80">
                  <c:v>122.99</c:v>
                </c:pt>
                <c:pt idx="81">
                  <c:v>122.99</c:v>
                </c:pt>
                <c:pt idx="82">
                  <c:v>122.99</c:v>
                </c:pt>
                <c:pt idx="83">
                  <c:v>122.99</c:v>
                </c:pt>
                <c:pt idx="84">
                  <c:v>122.99</c:v>
                </c:pt>
                <c:pt idx="85">
                  <c:v>122.99</c:v>
                </c:pt>
                <c:pt idx="86">
                  <c:v>122.99</c:v>
                </c:pt>
                <c:pt idx="87">
                  <c:v>122.99</c:v>
                </c:pt>
                <c:pt idx="88">
                  <c:v>122.99</c:v>
                </c:pt>
                <c:pt idx="89">
                  <c:v>122.99</c:v>
                </c:pt>
                <c:pt idx="90">
                  <c:v>122.99</c:v>
                </c:pt>
                <c:pt idx="91">
                  <c:v>122.99</c:v>
                </c:pt>
                <c:pt idx="92">
                  <c:v>122.99</c:v>
                </c:pt>
                <c:pt idx="93">
                  <c:v>122.99</c:v>
                </c:pt>
                <c:pt idx="94">
                  <c:v>122.99</c:v>
                </c:pt>
                <c:pt idx="95">
                  <c:v>122.99</c:v>
                </c:pt>
                <c:pt idx="96">
                  <c:v>122.99</c:v>
                </c:pt>
                <c:pt idx="97">
                  <c:v>122.99</c:v>
                </c:pt>
                <c:pt idx="98">
                  <c:v>122.99</c:v>
                </c:pt>
                <c:pt idx="99">
                  <c:v>122.99</c:v>
                </c:pt>
              </c:numCache>
            </c:numRef>
          </c:xVal>
          <c:yVal>
            <c:numRef>
              <c:f>'LN-Transfer'!$D$20:$D$119</c:f>
              <c:numCache>
                <c:formatCode>0.000</c:formatCode>
                <c:ptCount val="100"/>
                <c:pt idx="0">
                  <c:v>-3.5445667509296084</c:v>
                </c:pt>
                <c:pt idx="1">
                  <c:v>-2.6388379735035676</c:v>
                </c:pt>
                <c:pt idx="2">
                  <c:v>-2.1508435771271244</c:v>
                </c:pt>
                <c:pt idx="3">
                  <c:v>-1.8106154809403505</c:v>
                </c:pt>
                <c:pt idx="4">
                  <c:v>-1.5341319533243423</c:v>
                </c:pt>
                <c:pt idx="5">
                  <c:v>-1.3070458819905748</c:v>
                </c:pt>
                <c:pt idx="6">
                  <c:v>-1.101606680299362</c:v>
                </c:pt>
                <c:pt idx="7">
                  <c:v>-0.90964030242515115</c:v>
                </c:pt>
                <c:pt idx="8">
                  <c:v>-0.61787047802593886</c:v>
                </c:pt>
                <c:pt idx="9">
                  <c:v>-0.36080000159481967</c:v>
                </c:pt>
                <c:pt idx="10">
                  <c:v>0.10997993781965529</c:v>
                </c:pt>
                <c:pt idx="11">
                  <c:v>0.61580088767544028</c:v>
                </c:pt>
                <c:pt idx="12">
                  <c:v>0.61580088767544028</c:v>
                </c:pt>
                <c:pt idx="13">
                  <c:v>0.61580088767544028</c:v>
                </c:pt>
                <c:pt idx="14">
                  <c:v>0.61580088767544028</c:v>
                </c:pt>
                <c:pt idx="15">
                  <c:v>0.61580088767544028</c:v>
                </c:pt>
                <c:pt idx="16">
                  <c:v>0.61580088767544028</c:v>
                </c:pt>
                <c:pt idx="17">
                  <c:v>0.61580088767544028</c:v>
                </c:pt>
                <c:pt idx="18">
                  <c:v>0.61580088767544028</c:v>
                </c:pt>
                <c:pt idx="19">
                  <c:v>0.61580088767544028</c:v>
                </c:pt>
                <c:pt idx="20">
                  <c:v>0.61580088767544028</c:v>
                </c:pt>
                <c:pt idx="21">
                  <c:v>0.61580088767544028</c:v>
                </c:pt>
                <c:pt idx="22">
                  <c:v>0.61580088767544028</c:v>
                </c:pt>
                <c:pt idx="23">
                  <c:v>0.61580088767544028</c:v>
                </c:pt>
                <c:pt idx="24">
                  <c:v>0.61580088767544028</c:v>
                </c:pt>
                <c:pt idx="25">
                  <c:v>0.61580088767544028</c:v>
                </c:pt>
                <c:pt idx="26">
                  <c:v>0.61580088767544028</c:v>
                </c:pt>
                <c:pt idx="27">
                  <c:v>0.61580088767544028</c:v>
                </c:pt>
                <c:pt idx="28">
                  <c:v>0.61580088767544028</c:v>
                </c:pt>
                <c:pt idx="29">
                  <c:v>0.61580088767544028</c:v>
                </c:pt>
                <c:pt idx="30">
                  <c:v>0.61580088767544028</c:v>
                </c:pt>
                <c:pt idx="31">
                  <c:v>0.61580088767544028</c:v>
                </c:pt>
                <c:pt idx="32">
                  <c:v>0.61580088767544028</c:v>
                </c:pt>
                <c:pt idx="33">
                  <c:v>0.61580088767544028</c:v>
                </c:pt>
                <c:pt idx="34">
                  <c:v>0.61580088767544028</c:v>
                </c:pt>
                <c:pt idx="35">
                  <c:v>0.61580088767544028</c:v>
                </c:pt>
                <c:pt idx="36">
                  <c:v>0.61580088767544028</c:v>
                </c:pt>
                <c:pt idx="37">
                  <c:v>0.61580088767544028</c:v>
                </c:pt>
                <c:pt idx="38">
                  <c:v>0.61580088767544028</c:v>
                </c:pt>
                <c:pt idx="39">
                  <c:v>0.61580088767544028</c:v>
                </c:pt>
                <c:pt idx="40">
                  <c:v>0.61580088767544028</c:v>
                </c:pt>
                <c:pt idx="41">
                  <c:v>0.61580088767544028</c:v>
                </c:pt>
                <c:pt idx="42">
                  <c:v>0.61580088767544028</c:v>
                </c:pt>
                <c:pt idx="43">
                  <c:v>0.61580088767544028</c:v>
                </c:pt>
                <c:pt idx="44">
                  <c:v>0.61580088767544028</c:v>
                </c:pt>
                <c:pt idx="45">
                  <c:v>0.61580088767544028</c:v>
                </c:pt>
                <c:pt idx="46">
                  <c:v>0.61580088767544028</c:v>
                </c:pt>
                <c:pt idx="47">
                  <c:v>0.61580088767544028</c:v>
                </c:pt>
                <c:pt idx="48">
                  <c:v>0.61580088767544028</c:v>
                </c:pt>
                <c:pt idx="49">
                  <c:v>0.61580088767544028</c:v>
                </c:pt>
                <c:pt idx="50">
                  <c:v>0.61580088767544028</c:v>
                </c:pt>
                <c:pt idx="51">
                  <c:v>0.61580088767544028</c:v>
                </c:pt>
                <c:pt idx="52">
                  <c:v>0.61580088767544028</c:v>
                </c:pt>
                <c:pt idx="53">
                  <c:v>0.61580088767544028</c:v>
                </c:pt>
                <c:pt idx="54">
                  <c:v>0.61580088767544028</c:v>
                </c:pt>
                <c:pt idx="55">
                  <c:v>0.61580088767544028</c:v>
                </c:pt>
                <c:pt idx="56">
                  <c:v>0.61580088767544028</c:v>
                </c:pt>
                <c:pt idx="57">
                  <c:v>0.61580088767544028</c:v>
                </c:pt>
                <c:pt idx="58">
                  <c:v>0.61580088767544028</c:v>
                </c:pt>
                <c:pt idx="59">
                  <c:v>0.61580088767544028</c:v>
                </c:pt>
                <c:pt idx="60">
                  <c:v>0.61580088767544028</c:v>
                </c:pt>
                <c:pt idx="61">
                  <c:v>0.61580088767544028</c:v>
                </c:pt>
                <c:pt idx="62">
                  <c:v>0.61580088767544028</c:v>
                </c:pt>
                <c:pt idx="63">
                  <c:v>0.61580088767544028</c:v>
                </c:pt>
                <c:pt idx="64">
                  <c:v>0.61580088767544028</c:v>
                </c:pt>
                <c:pt idx="65">
                  <c:v>0.61580088767544028</c:v>
                </c:pt>
                <c:pt idx="66">
                  <c:v>0.61580088767544028</c:v>
                </c:pt>
                <c:pt idx="67">
                  <c:v>0.61580088767544028</c:v>
                </c:pt>
                <c:pt idx="68">
                  <c:v>0.61580088767544028</c:v>
                </c:pt>
                <c:pt idx="69">
                  <c:v>0.61580088767544028</c:v>
                </c:pt>
                <c:pt idx="70">
                  <c:v>0.61580088767544028</c:v>
                </c:pt>
                <c:pt idx="71">
                  <c:v>0.61580088767544028</c:v>
                </c:pt>
                <c:pt idx="72">
                  <c:v>0.61580088767544028</c:v>
                </c:pt>
                <c:pt idx="73">
                  <c:v>0.61580088767544028</c:v>
                </c:pt>
                <c:pt idx="74">
                  <c:v>0.61580088767544028</c:v>
                </c:pt>
                <c:pt idx="75">
                  <c:v>0.61580088767544028</c:v>
                </c:pt>
                <c:pt idx="76">
                  <c:v>0.61580088767544028</c:v>
                </c:pt>
                <c:pt idx="77">
                  <c:v>0.61580088767544028</c:v>
                </c:pt>
                <c:pt idx="78">
                  <c:v>0.61580088767544028</c:v>
                </c:pt>
                <c:pt idx="79">
                  <c:v>0.61580088767544028</c:v>
                </c:pt>
                <c:pt idx="80">
                  <c:v>0.61580088767544028</c:v>
                </c:pt>
                <c:pt idx="81">
                  <c:v>0.61580088767544028</c:v>
                </c:pt>
                <c:pt idx="82">
                  <c:v>0.61580088767544028</c:v>
                </c:pt>
                <c:pt idx="83">
                  <c:v>0.61580088767544028</c:v>
                </c:pt>
                <c:pt idx="84">
                  <c:v>0.61580088767544028</c:v>
                </c:pt>
                <c:pt idx="85">
                  <c:v>0.61580088767544028</c:v>
                </c:pt>
                <c:pt idx="86">
                  <c:v>0.61580088767544028</c:v>
                </c:pt>
                <c:pt idx="87">
                  <c:v>0.61580088767544028</c:v>
                </c:pt>
                <c:pt idx="88">
                  <c:v>0.61580088767544028</c:v>
                </c:pt>
                <c:pt idx="89">
                  <c:v>0.61580088767544028</c:v>
                </c:pt>
                <c:pt idx="90">
                  <c:v>0.61580088767544028</c:v>
                </c:pt>
                <c:pt idx="91">
                  <c:v>0.61580088767544028</c:v>
                </c:pt>
                <c:pt idx="92">
                  <c:v>0.61580088767544028</c:v>
                </c:pt>
                <c:pt idx="93">
                  <c:v>0.61580088767544028</c:v>
                </c:pt>
                <c:pt idx="94">
                  <c:v>0.61580088767544028</c:v>
                </c:pt>
                <c:pt idx="95">
                  <c:v>0.61580088767544028</c:v>
                </c:pt>
                <c:pt idx="96">
                  <c:v>0.61580088767544028</c:v>
                </c:pt>
                <c:pt idx="97">
                  <c:v>0.61580088767544028</c:v>
                </c:pt>
                <c:pt idx="98">
                  <c:v>0.61580088767544028</c:v>
                </c:pt>
                <c:pt idx="99">
                  <c:v>0.61580088767544028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05-4632-99A6-92033200ACD1}"/>
            </c:ext>
          </c:extLst>
        </c:ser>
        <c:ser>
          <c:idx val="1"/>
          <c:order val="2"/>
          <c:tx>
            <c:v>Ausgleichsgerade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'LN-Transfer'!$B$12:$B$13</c:f>
              <c:numCache>
                <c:formatCode>General</c:formatCode>
                <c:ptCount val="2"/>
                <c:pt idx="0">
                  <c:v>376.03450206291342</c:v>
                </c:pt>
                <c:pt idx="1">
                  <c:v>1</c:v>
                </c:pt>
              </c:numCache>
            </c:numRef>
          </c:xVal>
          <c:yVal>
            <c:numRef>
              <c:f>'LN-Transfer'!$C$12:$C$13</c:f>
              <c:numCache>
                <c:formatCode>General</c:formatCode>
                <c:ptCount val="2"/>
                <c:pt idx="0">
                  <c:v>1.9326447339160653</c:v>
                </c:pt>
                <c:pt idx="1">
                  <c:v>-4.216228752699962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05-4632-99A6-92033200ACD1}"/>
            </c:ext>
          </c:extLst>
        </c:ser>
        <c:ser>
          <c:idx val="2"/>
          <c:order val="3"/>
          <c:tx>
            <c:strRef>
              <c:f>'LN-Transfer'!$F$20</c:f>
              <c:strCache>
                <c:ptCount val="1"/>
                <c:pt idx="0">
                  <c:v>0,1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605-4632-99A6-92033200ACD1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0,1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'LN-Transfer'!$G$20:$H$20</c:f>
              <c:numCache>
                <c:formatCode>0.000</c:formatCode>
                <c:ptCount val="2"/>
                <c:pt idx="0">
                  <c:v>-6.9072550705237159</c:v>
                </c:pt>
                <c:pt idx="1">
                  <c:v>-6.9072550705237159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05-4632-99A6-92033200ACD1}"/>
            </c:ext>
          </c:extLst>
        </c:ser>
        <c:ser>
          <c:idx val="3"/>
          <c:order val="4"/>
          <c:tx>
            <c:strRef>
              <c:f>'LN-Transfer'!$F$21</c:f>
              <c:strCache>
                <c:ptCount val="1"/>
                <c:pt idx="0">
                  <c:v>0,2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0,2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'LN-Transfer'!$G$21:$H$21</c:f>
              <c:numCache>
                <c:formatCode>0.000</c:formatCode>
                <c:ptCount val="2"/>
                <c:pt idx="0">
                  <c:v>-6.2136072640874609</c:v>
                </c:pt>
                <c:pt idx="1">
                  <c:v>-6.2136072640874609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605-4632-99A6-92033200ACD1}"/>
            </c:ext>
          </c:extLst>
        </c:ser>
        <c:ser>
          <c:idx val="4"/>
          <c:order val="5"/>
          <c:tx>
            <c:strRef>
              <c:f>'LN-Transfer'!$F$22</c:f>
              <c:strCache>
                <c:ptCount val="1"/>
                <c:pt idx="0">
                  <c:v>0,3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'LN-Transfer'!$G$22:$H$22</c:f>
              <c:numCache>
                <c:formatCode>0.000</c:formatCode>
                <c:ptCount val="2"/>
                <c:pt idx="0">
                  <c:v>-5.8076411119319511</c:v>
                </c:pt>
                <c:pt idx="1">
                  <c:v>-5.8076411119319511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605-4632-99A6-92033200ACD1}"/>
            </c:ext>
          </c:extLst>
        </c:ser>
        <c:ser>
          <c:idx val="6"/>
          <c:order val="6"/>
          <c:tx>
            <c:strRef>
              <c:f>'LN-Transfer'!$F$23</c:f>
              <c:strCache>
                <c:ptCount val="1"/>
                <c:pt idx="0">
                  <c:v>0,5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0,5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'LN-Transfer'!$G$23:$H$23</c:f>
              <c:numCache>
                <c:formatCode>0.000</c:formatCode>
                <c:ptCount val="2"/>
                <c:pt idx="0">
                  <c:v>-5.2958121425350253</c:v>
                </c:pt>
                <c:pt idx="1">
                  <c:v>-5.2958121425350253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605-4632-99A6-92033200ACD1}"/>
            </c:ext>
          </c:extLst>
        </c:ser>
        <c:ser>
          <c:idx val="7"/>
          <c:order val="7"/>
          <c:tx>
            <c:strRef>
              <c:f>'LN-Transfer'!$F$24</c:f>
              <c:strCache>
                <c:ptCount val="1"/>
                <c:pt idx="0">
                  <c:v>1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'LN-Transfer'!$G$24:$H$24</c:f>
              <c:numCache>
                <c:formatCode>0.000</c:formatCode>
                <c:ptCount val="2"/>
                <c:pt idx="0">
                  <c:v>-4.6001492267765789</c:v>
                </c:pt>
                <c:pt idx="1">
                  <c:v>-4.6001492267765789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605-4632-99A6-92033200ACD1}"/>
            </c:ext>
          </c:extLst>
        </c:ser>
        <c:ser>
          <c:idx val="8"/>
          <c:order val="8"/>
          <c:tx>
            <c:strRef>
              <c:f>'LN-Transfer'!$F$25</c:f>
              <c:strCache>
                <c:ptCount val="1"/>
                <c:pt idx="0">
                  <c:v>2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'LN-Transfer'!$G$25:$H$25</c:f>
              <c:numCache>
                <c:formatCode>0.000</c:formatCode>
                <c:ptCount val="2"/>
                <c:pt idx="0">
                  <c:v>-3.9019386579358333</c:v>
                </c:pt>
                <c:pt idx="1">
                  <c:v>-3.9019386579358333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605-4632-99A6-92033200ACD1}"/>
            </c:ext>
          </c:extLst>
        </c:ser>
        <c:ser>
          <c:idx val="9"/>
          <c:order val="9"/>
          <c:tx>
            <c:strRef>
              <c:f>'LN-Transfer'!$F$26</c:f>
              <c:strCache>
                <c:ptCount val="1"/>
                <c:pt idx="0">
                  <c:v>3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'LN-Transfer'!$G$26:$H$26</c:f>
              <c:numCache>
                <c:formatCode>0.000</c:formatCode>
                <c:ptCount val="2"/>
                <c:pt idx="0">
                  <c:v>-3.4913669500837861</c:v>
                </c:pt>
                <c:pt idx="1">
                  <c:v>-3.4913669500837861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605-4632-99A6-92033200ACD1}"/>
            </c:ext>
          </c:extLst>
        </c:ser>
        <c:ser>
          <c:idx val="10"/>
          <c:order val="10"/>
          <c:tx>
            <c:strRef>
              <c:f>'LN-Transfer'!$F$27</c:f>
              <c:strCache>
                <c:ptCount val="1"/>
                <c:pt idx="0">
                  <c:v>5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'LN-Transfer'!$G$27:$H$27</c:f>
              <c:numCache>
                <c:formatCode>0.000</c:formatCode>
                <c:ptCount val="2"/>
                <c:pt idx="0">
                  <c:v>-2.9701952490421637</c:v>
                </c:pt>
                <c:pt idx="1">
                  <c:v>-2.9701952490421637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4605-4632-99A6-92033200ACD1}"/>
            </c:ext>
          </c:extLst>
        </c:ser>
        <c:ser>
          <c:idx val="11"/>
          <c:order val="11"/>
          <c:tx>
            <c:strRef>
              <c:f>'LN-Transfer'!$F$28</c:f>
              <c:strCache>
                <c:ptCount val="1"/>
                <c:pt idx="0">
                  <c:v>10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'LN-Transfer'!$G$28:$H$28</c:f>
              <c:numCache>
                <c:formatCode>0.000</c:formatCode>
                <c:ptCount val="2"/>
                <c:pt idx="0">
                  <c:v>-2.2503673273124454</c:v>
                </c:pt>
                <c:pt idx="1">
                  <c:v>-2.2503673273124454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605-4632-99A6-92033200ACD1}"/>
            </c:ext>
          </c:extLst>
        </c:ser>
        <c:ser>
          <c:idx val="12"/>
          <c:order val="12"/>
          <c:tx>
            <c:strRef>
              <c:f>'LN-Transfer'!$F$29</c:f>
              <c:strCache>
                <c:ptCount val="1"/>
                <c:pt idx="0">
                  <c:v>20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'LN-Transfer'!$G$29:$H$29</c:f>
              <c:numCache>
                <c:formatCode>0.000</c:formatCode>
                <c:ptCount val="2"/>
                <c:pt idx="0">
                  <c:v>-1.4999399867595158</c:v>
                </c:pt>
                <c:pt idx="1">
                  <c:v>-1.4999399867595158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605-4632-99A6-92033200ACD1}"/>
            </c:ext>
          </c:extLst>
        </c:ser>
        <c:ser>
          <c:idx val="13"/>
          <c:order val="13"/>
          <c:tx>
            <c:strRef>
              <c:f>'LN-Transfer'!$F$30</c:f>
              <c:strCache>
                <c:ptCount val="1"/>
                <c:pt idx="0">
                  <c:v>30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30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'LN-Transfer'!$G$30:$H$30</c:f>
              <c:numCache>
                <c:formatCode>0.000</c:formatCode>
                <c:ptCount val="2"/>
                <c:pt idx="0">
                  <c:v>-1.0309304331587228</c:v>
                </c:pt>
                <c:pt idx="1">
                  <c:v>-1.0309304331587228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605-4632-99A6-92033200ACD1}"/>
            </c:ext>
          </c:extLst>
        </c:ser>
        <c:ser>
          <c:idx val="14"/>
          <c:order val="14"/>
          <c:tx>
            <c:strRef>
              <c:f>'LN-Transfer'!$F$31</c:f>
              <c:strCache>
                <c:ptCount val="1"/>
                <c:pt idx="0">
                  <c:v>40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40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'LN-Transfer'!$G$31:$H$31</c:f>
              <c:numCache>
                <c:formatCode>0.000</c:formatCode>
                <c:ptCount val="2"/>
                <c:pt idx="0">
                  <c:v>-0.67172699209212194</c:v>
                </c:pt>
                <c:pt idx="1">
                  <c:v>-0.67172699209212194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4605-4632-99A6-92033200ACD1}"/>
            </c:ext>
          </c:extLst>
        </c:ser>
        <c:ser>
          <c:idx val="15"/>
          <c:order val="15"/>
          <c:tx>
            <c:strRef>
              <c:f>'LN-Transfer'!$F$32</c:f>
              <c:strCache>
                <c:ptCount val="1"/>
                <c:pt idx="0">
                  <c:v>50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50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'LN-Transfer'!$G$32:$H$32</c:f>
              <c:numCache>
                <c:formatCode>0.000</c:formatCode>
                <c:ptCount val="2"/>
                <c:pt idx="0">
                  <c:v>-0.36651292058166435</c:v>
                </c:pt>
                <c:pt idx="1">
                  <c:v>-0.36651292058166435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4605-4632-99A6-92033200ACD1}"/>
            </c:ext>
          </c:extLst>
        </c:ser>
        <c:ser>
          <c:idx val="16"/>
          <c:order val="16"/>
          <c:tx>
            <c:strRef>
              <c:f>'LN-Transfer'!$F$33</c:f>
              <c:strCache>
                <c:ptCount val="1"/>
                <c:pt idx="0">
                  <c:v>60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'LN-Transfer'!$G$33:$H$33</c:f>
              <c:numCache>
                <c:formatCode>0.000</c:formatCode>
                <c:ptCount val="2"/>
                <c:pt idx="0">
                  <c:v>-8.7421571790755173E-2</c:v>
                </c:pt>
                <c:pt idx="1">
                  <c:v>-8.7421571790755173E-2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4605-4632-99A6-92033200ACD1}"/>
            </c:ext>
          </c:extLst>
        </c:ser>
        <c:ser>
          <c:idx val="17"/>
          <c:order val="17"/>
          <c:tx>
            <c:strRef>
              <c:f>'LN-Transfer'!$F$34</c:f>
              <c:strCache>
                <c:ptCount val="1"/>
                <c:pt idx="0">
                  <c:v>63,2</c:v>
                </c:pt>
              </c:strCache>
            </c:strRef>
          </c:tx>
          <c:spPr>
            <a:ln w="12700">
              <a:solidFill>
                <a:srgbClr val="339933"/>
              </a:solidFill>
              <a:prstDash val="sysDash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63,2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'LN-Transfer'!$G$34:$H$34</c:f>
              <c:numCache>
                <c:formatCode>0.000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4605-4632-99A6-92033200ACD1}"/>
            </c:ext>
          </c:extLst>
        </c:ser>
        <c:ser>
          <c:idx val="18"/>
          <c:order val="18"/>
          <c:tx>
            <c:strRef>
              <c:f>'LN-Transfer'!$F$35</c:f>
              <c:strCache>
                <c:ptCount val="1"/>
                <c:pt idx="0">
                  <c:v>70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'LN-Transfer'!$G$35:$H$35</c:f>
              <c:numCache>
                <c:formatCode>0.000</c:formatCode>
                <c:ptCount val="2"/>
                <c:pt idx="0">
                  <c:v>0.18562675886236557</c:v>
                </c:pt>
                <c:pt idx="1">
                  <c:v>0.18562675886236557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4605-4632-99A6-92033200ACD1}"/>
            </c:ext>
          </c:extLst>
        </c:ser>
        <c:ser>
          <c:idx val="19"/>
          <c:order val="19"/>
          <c:tx>
            <c:strRef>
              <c:f>'LN-Transfer'!$F$36</c:f>
              <c:strCache>
                <c:ptCount val="1"/>
                <c:pt idx="0">
                  <c:v>80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'LN-Transfer'!$G$36:$H$36</c:f>
              <c:numCache>
                <c:formatCode>0.000</c:formatCode>
                <c:ptCount val="2"/>
                <c:pt idx="0">
                  <c:v>0.4758849953271107</c:v>
                </c:pt>
                <c:pt idx="1">
                  <c:v>0.4758849953271107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4605-4632-99A6-92033200ACD1}"/>
            </c:ext>
          </c:extLst>
        </c:ser>
        <c:ser>
          <c:idx val="20"/>
          <c:order val="20"/>
          <c:tx>
            <c:strRef>
              <c:f>'LN-Transfer'!$F$37</c:f>
              <c:strCache>
                <c:ptCount val="1"/>
                <c:pt idx="0">
                  <c:v>90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90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'LN-Transfer'!$G$37:$H$37</c:f>
              <c:numCache>
                <c:formatCode>0.000</c:formatCode>
                <c:ptCount val="2"/>
                <c:pt idx="0">
                  <c:v>0.83403244524795594</c:v>
                </c:pt>
                <c:pt idx="1">
                  <c:v>0.83403244524795594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4605-4632-99A6-92033200ACD1}"/>
            </c:ext>
          </c:extLst>
        </c:ser>
        <c:ser>
          <c:idx val="21"/>
          <c:order val="21"/>
          <c:tx>
            <c:strRef>
              <c:f>'LN-Transfer'!$F$38</c:f>
              <c:strCache>
                <c:ptCount val="1"/>
                <c:pt idx="0">
                  <c:v>99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99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'LN-Transfer'!$G$38:$H$38</c:f>
              <c:numCache>
                <c:formatCode>0.000</c:formatCode>
                <c:ptCount val="2"/>
                <c:pt idx="0">
                  <c:v>1.5271796258079011</c:v>
                </c:pt>
                <c:pt idx="1">
                  <c:v>1.5271796258079011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4605-4632-99A6-92033200ACD1}"/>
            </c:ext>
          </c:extLst>
        </c:ser>
        <c:ser>
          <c:idx val="22"/>
          <c:order val="22"/>
          <c:tx>
            <c:strRef>
              <c:f>'LN-Transfer'!$F$39</c:f>
              <c:strCache>
                <c:ptCount val="1"/>
                <c:pt idx="0">
                  <c:v>99,9</c:v>
                </c:pt>
              </c:strCache>
            </c:strRef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99,9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'LN-Transfer'!$G$39:$H$39</c:f>
              <c:numCache>
                <c:formatCode>0.000</c:formatCode>
                <c:ptCount val="2"/>
                <c:pt idx="0">
                  <c:v>1.9326447339160815</c:v>
                </c:pt>
                <c:pt idx="1">
                  <c:v>1.9326447339160815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4605-4632-99A6-92033200ACD1}"/>
            </c:ext>
          </c:extLst>
        </c:ser>
        <c:ser>
          <c:idx val="23"/>
          <c:order val="23"/>
          <c:tx>
            <c:v>Ausgleichskurve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'LN-Transfer'!$J$20:$J$40</c:f>
              <c:numCache>
                <c:formatCode>0.00</c:formatCode>
                <c:ptCount val="21"/>
                <c:pt idx="0">
                  <c:v>10.068252823110539</c:v>
                </c:pt>
                <c:pt idx="1">
                  <c:v>10.10499677826976</c:v>
                </c:pt>
                <c:pt idx="2">
                  <c:v>10.161521867442385</c:v>
                </c:pt>
                <c:pt idx="3">
                  <c:v>10.248477277988915</c:v>
                </c:pt>
                <c:pt idx="4">
                  <c:v>10.38224519474927</c:v>
                </c:pt>
                <c:pt idx="5">
                  <c:v>10.588027163254042</c:v>
                </c:pt>
                <c:pt idx="6">
                  <c:v>10.904591998733704</c:v>
                </c:pt>
                <c:pt idx="7">
                  <c:v>11.391579735270694</c:v>
                </c:pt>
                <c:pt idx="8">
                  <c:v>12.140737661096784</c:v>
                </c:pt>
                <c:pt idx="9">
                  <c:v>13.293205281367998</c:v>
                </c:pt>
                <c:pt idx="10">
                  <c:v>15.066104652764251</c:v>
                </c:pt>
                <c:pt idx="11">
                  <c:v>17.793445643357579</c:v>
                </c:pt>
                <c:pt idx="12">
                  <c:v>21.989052567800471</c:v>
                </c:pt>
                <c:pt idx="13">
                  <c:v>28.443367420672509</c:v>
                </c:pt>
                <c:pt idx="14">
                  <c:v>38.372367198347334</c:v>
                </c:pt>
                <c:pt idx="15">
                  <c:v>53.646650965461404</c:v>
                </c:pt>
                <c:pt idx="16">
                  <c:v>77.14385610418087</c:v>
                </c:pt>
                <c:pt idx="17">
                  <c:v>113.29079809826567</c:v>
                </c:pt>
                <c:pt idx="18">
                  <c:v>168.89747164986468</c:v>
                </c:pt>
                <c:pt idx="19">
                  <c:v>254.44003688208031</c:v>
                </c:pt>
                <c:pt idx="20">
                  <c:v>386.03450206291359</c:v>
                </c:pt>
              </c:numCache>
            </c:numRef>
          </c:xVal>
          <c:yVal>
            <c:numRef>
              <c:f>'LN-Transfer'!$K$20:$K$40</c:f>
              <c:numCache>
                <c:formatCode>0.000</c:formatCode>
                <c:ptCount val="21"/>
                <c:pt idx="0">
                  <c:v>-7</c:v>
                </c:pt>
                <c:pt idx="1">
                  <c:v>-6.5533677633041965</c:v>
                </c:pt>
                <c:pt idx="2">
                  <c:v>-6.1067355266083938</c:v>
                </c:pt>
                <c:pt idx="3">
                  <c:v>-5.6601032899125903</c:v>
                </c:pt>
                <c:pt idx="4">
                  <c:v>-5.2134710532167867</c:v>
                </c:pt>
                <c:pt idx="5">
                  <c:v>-4.7668388165209841</c:v>
                </c:pt>
                <c:pt idx="6">
                  <c:v>-4.3202065798251805</c:v>
                </c:pt>
                <c:pt idx="7">
                  <c:v>-3.873574343129377</c:v>
                </c:pt>
                <c:pt idx="8">
                  <c:v>-3.4269421064335739</c:v>
                </c:pt>
                <c:pt idx="9">
                  <c:v>-2.9803098697377708</c:v>
                </c:pt>
                <c:pt idx="10">
                  <c:v>-2.5336776330419672</c:v>
                </c:pt>
                <c:pt idx="11">
                  <c:v>-2.0870453963461637</c:v>
                </c:pt>
                <c:pt idx="12">
                  <c:v>-1.6404131596503611</c:v>
                </c:pt>
                <c:pt idx="13">
                  <c:v>-1.1937809229545575</c:v>
                </c:pt>
                <c:pt idx="14">
                  <c:v>-0.74714868625875397</c:v>
                </c:pt>
                <c:pt idx="15">
                  <c:v>-0.30051644956295132</c:v>
                </c:pt>
                <c:pt idx="16">
                  <c:v>0.14611578713285223</c:v>
                </c:pt>
                <c:pt idx="17">
                  <c:v>0.59274802382865577</c:v>
                </c:pt>
                <c:pt idx="18">
                  <c:v>1.0393802605244584</c:v>
                </c:pt>
                <c:pt idx="19">
                  <c:v>1.486012497220262</c:v>
                </c:pt>
                <c:pt idx="20">
                  <c:v>1.9326447339160655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4605-4632-99A6-92033200ACD1}"/>
            </c:ext>
          </c:extLst>
        </c:ser>
        <c:ser>
          <c:idx val="24"/>
          <c:order val="24"/>
          <c:tx>
            <c:v>Lot auf T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'LN-Transfer'!$L$20:$L$21</c:f>
              <c:numCache>
                <c:formatCode>0.0</c:formatCode>
                <c:ptCount val="2"/>
                <c:pt idx="0">
                  <c:v>68.319138391568487</c:v>
                </c:pt>
                <c:pt idx="1">
                  <c:v>68.319138391568487</c:v>
                </c:pt>
              </c:numCache>
            </c:numRef>
          </c:xVal>
          <c:yVal>
            <c:numRef>
              <c:f>'LN-Transfer'!$M$20:$M$21</c:f>
              <c:numCache>
                <c:formatCode>General</c:formatCode>
                <c:ptCount val="2"/>
                <c:pt idx="0">
                  <c:v>-7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4605-4632-99A6-92033200ACD1}"/>
            </c:ext>
          </c:extLst>
        </c:ser>
        <c:ser>
          <c:idx val="25"/>
          <c:order val="25"/>
          <c:tx>
            <c:v>Punkt T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'LN-Transfer'!$L$20</c:f>
              <c:numCache>
                <c:formatCode>0.0</c:formatCode>
                <c:ptCount val="1"/>
                <c:pt idx="0">
                  <c:v>68.319138391568487</c:v>
                </c:pt>
              </c:numCache>
            </c:numRef>
          </c:xVal>
          <c:yVal>
            <c:numRef>
              <c:f>'LN-Transfer'!$M$20</c:f>
              <c:numCache>
                <c:formatCode>General</c:formatCode>
                <c:ptCount val="1"/>
                <c:pt idx="0">
                  <c:v>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4605-4632-99A6-92033200ACD1}"/>
            </c:ext>
          </c:extLst>
        </c:ser>
        <c:ser>
          <c:idx val="26"/>
          <c:order val="26"/>
          <c:tx>
            <c:v>Punkt auf t-0</c:v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'LN-Transfer'!$L$24</c:f>
              <c:numCache>
                <c:formatCode>0.0</c:formatCode>
                <c:ptCount val="1"/>
                <c:pt idx="0">
                  <c:v>10</c:v>
                </c:pt>
              </c:numCache>
            </c:numRef>
          </c:xVal>
          <c:yVal>
            <c:numRef>
              <c:f>'LN-Transfer'!$M$24</c:f>
              <c:numCache>
                <c:formatCode>General</c:formatCode>
                <c:ptCount val="1"/>
                <c:pt idx="0">
                  <c:v>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4605-4632-99A6-92033200ACD1}"/>
            </c:ext>
          </c:extLst>
        </c:ser>
        <c:ser>
          <c:idx val="27"/>
          <c:order val="27"/>
          <c:tx>
            <c:strRef>
              <c:f>'LN-Transfer'!$L$26:$M$26</c:f>
              <c:strCache>
                <c:ptCount val="1"/>
                <c:pt idx="0">
                  <c:v>Steigung b = 1</c:v>
                </c:pt>
              </c:strCache>
            </c:strRef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'LN-Transfer'!$L$27:$L$28</c:f>
              <c:numCache>
                <c:formatCode>0.0</c:formatCode>
                <c:ptCount val="2"/>
                <c:pt idx="0">
                  <c:v>100</c:v>
                </c:pt>
                <c:pt idx="1">
                  <c:v>1000</c:v>
                </c:pt>
              </c:numCache>
            </c:numRef>
          </c:xVal>
          <c:yVal>
            <c:numRef>
              <c:f>'LN-Transfer'!$M$27:$M$28</c:f>
              <c:numCache>
                <c:formatCode>General</c:formatCode>
                <c:ptCount val="2"/>
                <c:pt idx="0">
                  <c:v>-7</c:v>
                </c:pt>
                <c:pt idx="1">
                  <c:v>-4.6974149070059541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4605-4632-99A6-92033200ACD1}"/>
            </c:ext>
          </c:extLst>
        </c:ser>
        <c:ser>
          <c:idx val="28"/>
          <c:order val="28"/>
          <c:tx>
            <c:strRef>
              <c:f>'LN-Transfer'!$N$19:$P$19</c:f>
              <c:strCache>
                <c:ptCount val="1"/>
                <c:pt idx="0">
                  <c:v>b-Skala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dPt>
            <c:idx val="0"/>
            <c:marker>
              <c:symbol val="dash"/>
              <c:size val="6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E-4605-4632-99A6-92033200ACD1}"/>
              </c:ext>
            </c:extLst>
          </c:dPt>
          <c:dPt>
            <c:idx val="5"/>
            <c:marker>
              <c:symbol val="dash"/>
              <c:size val="6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4605-4632-99A6-92033200ACD1}"/>
              </c:ext>
            </c:extLst>
          </c:dPt>
          <c:dPt>
            <c:idx val="10"/>
            <c:marker>
              <c:symbol val="dash"/>
              <c:size val="6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A-4605-4632-99A6-92033200ACD1}"/>
              </c:ext>
            </c:extLst>
          </c:dPt>
          <c:dPt>
            <c:idx val="15"/>
            <c:marker>
              <c:symbol val="dash"/>
              <c:size val="6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4605-4632-99A6-92033200ACD1}"/>
              </c:ext>
            </c:extLst>
          </c:dPt>
          <c:dPt>
            <c:idx val="20"/>
            <c:marker>
              <c:symbol val="dash"/>
              <c:size val="6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6-4605-4632-99A6-92033200ACD1}"/>
              </c:ext>
            </c:extLst>
          </c:dPt>
          <c:dPt>
            <c:idx val="25"/>
            <c:marker>
              <c:symbol val="dash"/>
              <c:size val="6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4-4605-4632-99A6-92033200ACD1}"/>
              </c:ext>
            </c:extLst>
          </c:dPt>
          <c:dPt>
            <c:idx val="30"/>
            <c:marker>
              <c:symbol val="dash"/>
              <c:size val="6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2-4605-4632-99A6-92033200ACD1}"/>
              </c:ext>
            </c:extLst>
          </c:dPt>
          <c:dPt>
            <c:idx val="35"/>
            <c:marker>
              <c:symbol val="dash"/>
              <c:size val="6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0-4605-4632-99A6-92033200ACD1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0,0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4605-4632-99A6-92033200ACD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0,5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605-4632-99A6-92033200ACD1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4605-4632-99A6-92033200ACD1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4605-4632-99A6-92033200ACD1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605-4632-99A6-92033200ACD1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4605-4632-99A6-92033200ACD1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3,0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605-4632-99A6-92033200ACD1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3,5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605-4632-99A6-92033200ACD1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b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605-4632-99A6-92033200A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'LN-Transfer'!$O$20:$O$58</c:f>
              <c:numCache>
                <c:formatCode>General</c:formatCode>
                <c:ptCount val="39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</c:numCache>
            </c:numRef>
          </c:xVal>
          <c:yVal>
            <c:numRef>
              <c:f>'LN-Transfer'!$P$20:$P$58</c:f>
              <c:numCache>
                <c:formatCode>0.000</c:formatCode>
                <c:ptCount val="39"/>
                <c:pt idx="0">
                  <c:v>-7</c:v>
                </c:pt>
                <c:pt idx="1">
                  <c:v>-6.7697414907005955</c:v>
                </c:pt>
                <c:pt idx="2">
                  <c:v>-6.539482981401191</c:v>
                </c:pt>
                <c:pt idx="3">
                  <c:v>-6.3092244721017865</c:v>
                </c:pt>
                <c:pt idx="4">
                  <c:v>-6.078965962802382</c:v>
                </c:pt>
                <c:pt idx="5">
                  <c:v>-5.8487074535029766</c:v>
                </c:pt>
                <c:pt idx="6">
                  <c:v>-5.618448944203573</c:v>
                </c:pt>
                <c:pt idx="7">
                  <c:v>-5.3881904349041676</c:v>
                </c:pt>
                <c:pt idx="8">
                  <c:v>-5.1579319256047631</c:v>
                </c:pt>
                <c:pt idx="9">
                  <c:v>-4.9276734163053586</c:v>
                </c:pt>
                <c:pt idx="10">
                  <c:v>-4.6974149070059541</c:v>
                </c:pt>
                <c:pt idx="11">
                  <c:v>-4.4671563977065496</c:v>
                </c:pt>
                <c:pt idx="12">
                  <c:v>-4.2368978884071451</c:v>
                </c:pt>
                <c:pt idx="13">
                  <c:v>-4.0066393791077406</c:v>
                </c:pt>
                <c:pt idx="14">
                  <c:v>-3.7763808698083361</c:v>
                </c:pt>
                <c:pt idx="15">
                  <c:v>-3.5461223605089311</c:v>
                </c:pt>
                <c:pt idx="16">
                  <c:v>-3.3158638512095262</c:v>
                </c:pt>
                <c:pt idx="17">
                  <c:v>-3.0856053419101221</c:v>
                </c:pt>
                <c:pt idx="18">
                  <c:v>-2.8553468326107172</c:v>
                </c:pt>
                <c:pt idx="19">
                  <c:v>-2.6250883233113127</c:v>
                </c:pt>
                <c:pt idx="20">
                  <c:v>-2.3948298140119082</c:v>
                </c:pt>
                <c:pt idx="21">
                  <c:v>-2.1645713047125037</c:v>
                </c:pt>
                <c:pt idx="22">
                  <c:v>-1.9343127954130983</c:v>
                </c:pt>
                <c:pt idx="23">
                  <c:v>-1.7040542861136947</c:v>
                </c:pt>
                <c:pt idx="24">
                  <c:v>-1.4737957768142902</c:v>
                </c:pt>
                <c:pt idx="25">
                  <c:v>-1.2435372675148848</c:v>
                </c:pt>
                <c:pt idx="26">
                  <c:v>-1.0132787582154803</c:v>
                </c:pt>
                <c:pt idx="27">
                  <c:v>-0.7830202489160758</c:v>
                </c:pt>
                <c:pt idx="28">
                  <c:v>-0.55276173961667219</c:v>
                </c:pt>
                <c:pt idx="29">
                  <c:v>-0.3225032303172668</c:v>
                </c:pt>
                <c:pt idx="30">
                  <c:v>-9.2244721017862297E-2</c:v>
                </c:pt>
                <c:pt idx="31">
                  <c:v>0.1380137882815422</c:v>
                </c:pt>
                <c:pt idx="32">
                  <c:v>0.36827229758094759</c:v>
                </c:pt>
                <c:pt idx="33">
                  <c:v>0.59853080688035121</c:v>
                </c:pt>
                <c:pt idx="34">
                  <c:v>0.82878931617975571</c:v>
                </c:pt>
                <c:pt idx="35">
                  <c:v>1.0590478254791602</c:v>
                </c:pt>
                <c:pt idx="36">
                  <c:v>1.2893063347785656</c:v>
                </c:pt>
                <c:pt idx="37">
                  <c:v>1.519564844077971</c:v>
                </c:pt>
                <c:pt idx="38">
                  <c:v>1.7498233533773746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0-4605-4632-99A6-92033200ACD1}"/>
            </c:ext>
          </c:extLst>
        </c:ser>
        <c:ser>
          <c:idx val="29"/>
          <c:order val="29"/>
          <c:tx>
            <c:strRef>
              <c:f>'LN-Transfer'!$L$30:$M$30</c:f>
              <c:strCache>
                <c:ptCount val="1"/>
                <c:pt idx="0">
                  <c:v>Steigung b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'LN-Transfer'!$L$31:$L$32</c:f>
              <c:numCache>
                <c:formatCode>General</c:formatCode>
                <c:ptCount val="2"/>
                <c:pt idx="0" formatCode="0.0">
                  <c:v>100</c:v>
                </c:pt>
                <c:pt idx="1">
                  <c:v>1000</c:v>
                </c:pt>
              </c:numCache>
            </c:numRef>
          </c:xVal>
          <c:yVal>
            <c:numRef>
              <c:f>'LN-Transfer'!$M$31:$M$32</c:f>
              <c:numCache>
                <c:formatCode>General</c:formatCode>
                <c:ptCount val="2"/>
                <c:pt idx="0">
                  <c:v>-7</c:v>
                </c:pt>
                <c:pt idx="1">
                  <c:v>-4.6122990987554804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1-4605-4632-99A6-92033200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956480"/>
        <c:axId val="361958400"/>
      </c:scatterChart>
      <c:valAx>
        <c:axId val="361956480"/>
        <c:scaling>
          <c:logBase val="10"/>
          <c:orientation val="minMax"/>
          <c:min val="1"/>
        </c:scaling>
        <c:delete val="0"/>
        <c:axPos val="b"/>
        <c:majorGridlines>
          <c:spPr>
            <a:ln w="12700">
              <a:solidFill>
                <a:srgbClr val="339933"/>
              </a:solidFill>
              <a:prstDash val="solid"/>
            </a:ln>
          </c:spPr>
        </c:majorGridlines>
        <c:minorGridlines>
          <c:spPr>
            <a:ln w="3175">
              <a:solidFill>
                <a:srgbClr val="339933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99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de-DE"/>
                  <a:t>Lebensdauer</a:t>
                </a:r>
              </a:p>
            </c:rich>
          </c:tx>
          <c:layout>
            <c:manualLayout>
              <c:xMode val="edge"/>
              <c:yMode val="edge"/>
              <c:x val="0.46270543615676357"/>
              <c:y val="0.8804159445407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out"/>
        <c:tickLblPos val="nextTo"/>
        <c:spPr>
          <a:ln w="12700">
            <a:solidFill>
              <a:srgbClr val="339933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339933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61958400"/>
        <c:crossesAt val="-7"/>
        <c:crossBetween val="midCat"/>
      </c:valAx>
      <c:valAx>
        <c:axId val="361958400"/>
        <c:scaling>
          <c:orientation val="minMax"/>
          <c:max val="1.9330000000000001"/>
          <c:min val="-7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99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de-DE" sz="1200" b="0" i="0" u="none" strike="noStrike" baseline="0">
                    <a:solidFill>
                      <a:srgbClr val="339933"/>
                    </a:solidFill>
                    <a:latin typeface="Times New Roman"/>
                    <a:cs typeface="Times New Roman"/>
                  </a:rPr>
                  <a:t>Ausfallwahrscheinlichkeit F(t) in % </a:t>
                </a:r>
                <a:r>
                  <a:rPr lang="de-DE" sz="1200" b="0" i="0" u="none" strike="noStrike" baseline="0">
                    <a:solidFill>
                      <a:srgbClr val="FFFFFF"/>
                    </a:solidFill>
                    <a:latin typeface="Times New Roman"/>
                    <a:cs typeface="Times New Roman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0"/>
              <c:y val="0.3431542461005198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none"/>
        <c:minorTickMark val="none"/>
        <c:tickLblPos val="none"/>
        <c:spPr>
          <a:ln w="12700">
            <a:solidFill>
              <a:srgbClr val="339933"/>
            </a:solidFill>
            <a:prstDash val="solid"/>
          </a:ln>
        </c:spPr>
        <c:crossAx val="3619564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ayout>
        <c:manualLayout>
          <c:xMode val="edge"/>
          <c:yMode val="edge"/>
          <c:x val="2.5284450063211123E-3"/>
          <c:y val="0.90987868284228757"/>
          <c:w val="0.88116308470290772"/>
          <c:h val="7.71230502599653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99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8740157499999996" right="0.78740157499999996" top="0.984251969" bottom="0.984251969" header="0.51181102300000003" footer="0.51181102300000003"/>
  <pageSetup paperSize="9" orientation="portrait" horizontalDpi="360" verticalDpi="360" r:id="rId1"/>
  <headerFooter alignWithMargins="0">
    <oddHeader>&amp;A</oddHeader>
    <oddFooter>Seite &amp;P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12" Type="http://schemas.openxmlformats.org/officeDocument/2006/relationships/image" Target="../media/image20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image" Target="../media/image19.emf"/><Relationship Id="rId5" Type="http://schemas.openxmlformats.org/officeDocument/2006/relationships/image" Target="../media/image13.emf"/><Relationship Id="rId10" Type="http://schemas.openxmlformats.org/officeDocument/2006/relationships/image" Target="../media/image18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3</xdr:row>
          <xdr:rowOff>0</xdr:rowOff>
        </xdr:from>
        <xdr:to>
          <xdr:col>1</xdr:col>
          <xdr:colOff>590550</xdr:colOff>
          <xdr:row>3</xdr:row>
          <xdr:rowOff>190500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3</xdr:row>
          <xdr:rowOff>190500</xdr:rowOff>
        </xdr:from>
        <xdr:to>
          <xdr:col>1</xdr:col>
          <xdr:colOff>628650</xdr:colOff>
          <xdr:row>5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5</xdr:row>
          <xdr:rowOff>0</xdr:rowOff>
        </xdr:from>
        <xdr:to>
          <xdr:col>1</xdr:col>
          <xdr:colOff>619125</xdr:colOff>
          <xdr:row>6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0</xdr:rowOff>
        </xdr:from>
        <xdr:to>
          <xdr:col>1</xdr:col>
          <xdr:colOff>666750</xdr:colOff>
          <xdr:row>7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190500</xdr:rowOff>
        </xdr:from>
        <xdr:to>
          <xdr:col>1</xdr:col>
          <xdr:colOff>657225</xdr:colOff>
          <xdr:row>8</xdr:row>
          <xdr:rowOff>19050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</xdr:row>
          <xdr:rowOff>180975</xdr:rowOff>
        </xdr:from>
        <xdr:to>
          <xdr:col>1</xdr:col>
          <xdr:colOff>666750</xdr:colOff>
          <xdr:row>9</xdr:row>
          <xdr:rowOff>28575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9</xdr:row>
          <xdr:rowOff>171450</xdr:rowOff>
        </xdr:from>
        <xdr:to>
          <xdr:col>1</xdr:col>
          <xdr:colOff>695325</xdr:colOff>
          <xdr:row>11</xdr:row>
          <xdr:rowOff>28575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8</xdr:row>
          <xdr:rowOff>171450</xdr:rowOff>
        </xdr:from>
        <xdr:to>
          <xdr:col>1</xdr:col>
          <xdr:colOff>695325</xdr:colOff>
          <xdr:row>10</xdr:row>
          <xdr:rowOff>28575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000750" cy="87630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133350</xdr:rowOff>
        </xdr:from>
        <xdr:to>
          <xdr:col>6</xdr:col>
          <xdr:colOff>466725</xdr:colOff>
          <xdr:row>13</xdr:row>
          <xdr:rowOff>161925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142875</xdr:rowOff>
        </xdr:from>
        <xdr:to>
          <xdr:col>6</xdr:col>
          <xdr:colOff>57150</xdr:colOff>
          <xdr:row>16</xdr:row>
          <xdr:rowOff>47625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142875</xdr:rowOff>
        </xdr:from>
        <xdr:to>
          <xdr:col>8</xdr:col>
          <xdr:colOff>762000</xdr:colOff>
          <xdr:row>14</xdr:row>
          <xdr:rowOff>95250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123825</xdr:rowOff>
        </xdr:from>
        <xdr:to>
          <xdr:col>7</xdr:col>
          <xdr:colOff>323850</xdr:colOff>
          <xdr:row>19</xdr:row>
          <xdr:rowOff>133350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133350</xdr:rowOff>
        </xdr:from>
        <xdr:to>
          <xdr:col>9</xdr:col>
          <xdr:colOff>9525</xdr:colOff>
          <xdr:row>19</xdr:row>
          <xdr:rowOff>38100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161925</xdr:rowOff>
        </xdr:from>
        <xdr:to>
          <xdr:col>6</xdr:col>
          <xdr:colOff>742950</xdr:colOff>
          <xdr:row>27</xdr:row>
          <xdr:rowOff>28575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9525</xdr:rowOff>
        </xdr:from>
        <xdr:to>
          <xdr:col>6</xdr:col>
          <xdr:colOff>400050</xdr:colOff>
          <xdr:row>50</xdr:row>
          <xdr:rowOff>123825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95250</xdr:rowOff>
        </xdr:from>
        <xdr:to>
          <xdr:col>6</xdr:col>
          <xdr:colOff>723900</xdr:colOff>
          <xdr:row>37</xdr:row>
          <xdr:rowOff>38100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66</xdr:row>
          <xdr:rowOff>0</xdr:rowOff>
        </xdr:from>
        <xdr:to>
          <xdr:col>9</xdr:col>
          <xdr:colOff>219075</xdr:colOff>
          <xdr:row>69</xdr:row>
          <xdr:rowOff>133350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69</xdr:row>
          <xdr:rowOff>76200</xdr:rowOff>
        </xdr:from>
        <xdr:to>
          <xdr:col>8</xdr:col>
          <xdr:colOff>428625</xdr:colOff>
          <xdr:row>71</xdr:row>
          <xdr:rowOff>133350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74</xdr:row>
          <xdr:rowOff>66675</xdr:rowOff>
        </xdr:from>
        <xdr:to>
          <xdr:col>9</xdr:col>
          <xdr:colOff>95250</xdr:colOff>
          <xdr:row>76</xdr:row>
          <xdr:rowOff>161925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72</xdr:row>
          <xdr:rowOff>76200</xdr:rowOff>
        </xdr:from>
        <xdr:to>
          <xdr:col>9</xdr:col>
          <xdr:colOff>228600</xdr:colOff>
          <xdr:row>74</xdr:row>
          <xdr:rowOff>19050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13" Type="http://schemas.openxmlformats.org/officeDocument/2006/relationships/image" Target="../media/image13.emf"/><Relationship Id="rId18" Type="http://schemas.openxmlformats.org/officeDocument/2006/relationships/oleObject" Target="../embeddings/oleObject16.bin"/><Relationship Id="rId26" Type="http://schemas.openxmlformats.org/officeDocument/2006/relationships/oleObject" Target="../embeddings/oleObject20.bin"/><Relationship Id="rId3" Type="http://schemas.openxmlformats.org/officeDocument/2006/relationships/vmlDrawing" Target="../drawings/vmlDrawing3.vml"/><Relationship Id="rId21" Type="http://schemas.openxmlformats.org/officeDocument/2006/relationships/image" Target="../media/image17.emf"/><Relationship Id="rId7" Type="http://schemas.openxmlformats.org/officeDocument/2006/relationships/image" Target="../media/image10.emf"/><Relationship Id="rId12" Type="http://schemas.openxmlformats.org/officeDocument/2006/relationships/oleObject" Target="../embeddings/oleObject13.bin"/><Relationship Id="rId17" Type="http://schemas.openxmlformats.org/officeDocument/2006/relationships/image" Target="../media/image15.emf"/><Relationship Id="rId25" Type="http://schemas.openxmlformats.org/officeDocument/2006/relationships/image" Target="../media/image19.e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5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11" Type="http://schemas.openxmlformats.org/officeDocument/2006/relationships/image" Target="../media/image12.emf"/><Relationship Id="rId24" Type="http://schemas.openxmlformats.org/officeDocument/2006/relationships/oleObject" Target="../embeddings/oleObject19.bin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23" Type="http://schemas.openxmlformats.org/officeDocument/2006/relationships/image" Target="../media/image18.emf"/><Relationship Id="rId10" Type="http://schemas.openxmlformats.org/officeDocument/2006/relationships/oleObject" Target="../embeddings/oleObject12.bin"/><Relationship Id="rId19" Type="http://schemas.openxmlformats.org/officeDocument/2006/relationships/image" Target="../media/image16.emf"/><Relationship Id="rId4" Type="http://schemas.openxmlformats.org/officeDocument/2006/relationships/oleObject" Target="../embeddings/oleObject9.bin"/><Relationship Id="rId9" Type="http://schemas.openxmlformats.org/officeDocument/2006/relationships/image" Target="../media/image11.emf"/><Relationship Id="rId14" Type="http://schemas.openxmlformats.org/officeDocument/2006/relationships/oleObject" Target="../embeddings/oleObject14.bin"/><Relationship Id="rId22" Type="http://schemas.openxmlformats.org/officeDocument/2006/relationships/oleObject" Target="../embeddings/oleObject18.bin"/><Relationship Id="rId27" Type="http://schemas.openxmlformats.org/officeDocument/2006/relationships/image" Target="../media/image20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tabSelected="1" workbookViewId="0">
      <selection activeCell="C27" sqref="C27"/>
    </sheetView>
  </sheetViews>
  <sheetFormatPr baseColWidth="10" defaultRowHeight="12.75" x14ac:dyDescent="0.2"/>
  <cols>
    <col min="1" max="5" width="12.7109375" customWidth="1"/>
    <col min="26" max="26" width="47" customWidth="1"/>
  </cols>
  <sheetData>
    <row r="1" spans="1:26" ht="18" x14ac:dyDescent="0.25">
      <c r="A1" s="31" t="s">
        <v>32</v>
      </c>
    </row>
    <row r="3" spans="1:26" x14ac:dyDescent="0.2">
      <c r="A3" s="1" t="s">
        <v>79</v>
      </c>
      <c r="B3" s="1" t="s">
        <v>69</v>
      </c>
      <c r="C3" s="1" t="s">
        <v>70</v>
      </c>
    </row>
    <row r="4" spans="1:26" x14ac:dyDescent="0.2">
      <c r="A4" s="1" t="s">
        <v>80</v>
      </c>
      <c r="B4" s="89">
        <v>1</v>
      </c>
      <c r="C4" s="151" t="s">
        <v>146</v>
      </c>
    </row>
    <row r="5" spans="1:26" x14ac:dyDescent="0.2">
      <c r="B5" s="1"/>
    </row>
    <row r="6" spans="1:26" x14ac:dyDescent="0.2">
      <c r="A6" s="28" t="s">
        <v>2</v>
      </c>
      <c r="B6" s="90">
        <v>24</v>
      </c>
      <c r="C6" t="s">
        <v>15</v>
      </c>
    </row>
    <row r="7" spans="1:26" ht="15.75" x14ac:dyDescent="0.3">
      <c r="A7" s="28" t="s">
        <v>16</v>
      </c>
      <c r="B7">
        <f>COUNT(B16:B115)</f>
        <v>12</v>
      </c>
      <c r="C7" t="s">
        <v>18</v>
      </c>
    </row>
    <row r="8" spans="1:26" ht="15.75" x14ac:dyDescent="0.3">
      <c r="A8" s="28" t="s">
        <v>17</v>
      </c>
      <c r="B8">
        <f>COUNT(C16:C115)</f>
        <v>12</v>
      </c>
      <c r="C8" t="s">
        <v>19</v>
      </c>
    </row>
    <row r="9" spans="1:26" x14ac:dyDescent="0.2">
      <c r="A9" s="28"/>
      <c r="B9">
        <f>SUM(B7:B8)</f>
        <v>24</v>
      </c>
      <c r="C9" t="s">
        <v>21</v>
      </c>
    </row>
    <row r="10" spans="1:26" x14ac:dyDescent="0.2">
      <c r="A10" s="28"/>
    </row>
    <row r="11" spans="1:26" x14ac:dyDescent="0.2">
      <c r="A11" s="29" t="s">
        <v>139</v>
      </c>
      <c r="B11" s="145" t="str">
        <f>IF(MIN(B16:B115)&lt;Auswerteblatt!D17,"Korrekturbedarf: Mindestens eine vollständige Lebensdauer ist kleiner als die ausfallfreie Zeit im Auswerteblatt, Zelle D17!","–")</f>
        <v>–</v>
      </c>
    </row>
    <row r="12" spans="1:26" x14ac:dyDescent="0.2">
      <c r="A12" s="29" t="s">
        <v>140</v>
      </c>
      <c r="B12" s="145" t="str">
        <f>IF(B9&gt;B6,"Korrekturbedarf: Die Anzahl der Lebensdauern übersteigt den Stichprobenumfang!","–")</f>
        <v>–</v>
      </c>
    </row>
    <row r="13" spans="1:26" x14ac:dyDescent="0.2">
      <c r="A13" s="29" t="s">
        <v>143</v>
      </c>
      <c r="B13" s="143" t="str">
        <f>'LN-Transfer'!A19</f>
        <v>–</v>
      </c>
    </row>
    <row r="15" spans="1:26" ht="51" x14ac:dyDescent="0.2">
      <c r="A15" s="27" t="s">
        <v>11</v>
      </c>
      <c r="B15" s="27" t="s">
        <v>13</v>
      </c>
      <c r="C15" s="27" t="s">
        <v>14</v>
      </c>
      <c r="D15" s="27" t="s">
        <v>12</v>
      </c>
      <c r="E15" s="26" t="s">
        <v>20</v>
      </c>
    </row>
    <row r="16" spans="1:26" x14ac:dyDescent="0.2">
      <c r="A16">
        <v>1</v>
      </c>
      <c r="B16" s="90">
        <v>117385</v>
      </c>
      <c r="C16" s="90">
        <v>202084</v>
      </c>
      <c r="D16">
        <f t="shared" ref="D16:D47" si="0">IF($B$7&gt;=A16,SMALL($B$16:$B$115,A16),"")</f>
        <v>117385</v>
      </c>
      <c r="E16">
        <f>IF(ISNUMBER(D16),FREQUENCY($C$16:$C$115,D16),"")</f>
        <v>0</v>
      </c>
      <c r="Y16">
        <v>0</v>
      </c>
      <c r="Z16" s="30">
        <f t="shared" ref="Z16:Z25" si="1">10^Y16</f>
        <v>1</v>
      </c>
    </row>
    <row r="17" spans="1:26" x14ac:dyDescent="0.2">
      <c r="A17">
        <v>2</v>
      </c>
      <c r="B17" s="90">
        <v>155508</v>
      </c>
      <c r="C17" s="90">
        <v>280268</v>
      </c>
      <c r="D17">
        <f t="shared" si="0"/>
        <v>155508</v>
      </c>
      <c r="E17">
        <f>IF(ISNUMBER(D17),FREQUENCY($C$16:$C$115,D17)-FREQUENCY($C$16:$C$115,D16),"")</f>
        <v>0</v>
      </c>
      <c r="Y17">
        <v>1</v>
      </c>
      <c r="Z17" s="30">
        <f t="shared" si="1"/>
        <v>10</v>
      </c>
    </row>
    <row r="18" spans="1:26" x14ac:dyDescent="0.2">
      <c r="A18">
        <v>3</v>
      </c>
      <c r="B18" s="90">
        <v>174844</v>
      </c>
      <c r="C18" s="90">
        <v>367484</v>
      </c>
      <c r="D18">
        <f t="shared" si="0"/>
        <v>174844</v>
      </c>
      <c r="E18">
        <f t="shared" ref="E18:E81" si="2">IF(ISNUMBER(D18),FREQUENCY($C$16:$C$115,D18)-FREQUENCY($C$16:$C$115,D17),"")</f>
        <v>0</v>
      </c>
      <c r="Y18">
        <v>2</v>
      </c>
      <c r="Z18" s="30">
        <f t="shared" si="1"/>
        <v>100</v>
      </c>
    </row>
    <row r="19" spans="1:26" x14ac:dyDescent="0.2">
      <c r="A19">
        <v>4</v>
      </c>
      <c r="B19" s="90">
        <v>197734</v>
      </c>
      <c r="C19" s="90">
        <v>397597</v>
      </c>
      <c r="D19">
        <f t="shared" si="0"/>
        <v>197734</v>
      </c>
      <c r="E19">
        <f t="shared" si="2"/>
        <v>0</v>
      </c>
      <c r="Y19">
        <v>3</v>
      </c>
      <c r="Z19" s="30">
        <f t="shared" si="1"/>
        <v>1000</v>
      </c>
    </row>
    <row r="20" spans="1:26" x14ac:dyDescent="0.2">
      <c r="A20">
        <v>5</v>
      </c>
      <c r="B20" s="90">
        <v>239329</v>
      </c>
      <c r="C20" s="90">
        <v>401437</v>
      </c>
      <c r="D20">
        <f t="shared" si="0"/>
        <v>239329</v>
      </c>
      <c r="E20">
        <f t="shared" si="2"/>
        <v>1</v>
      </c>
      <c r="Y20">
        <v>4</v>
      </c>
      <c r="Z20" s="30">
        <f t="shared" si="1"/>
        <v>10000</v>
      </c>
    </row>
    <row r="21" spans="1:26" x14ac:dyDescent="0.2">
      <c r="A21">
        <v>6</v>
      </c>
      <c r="B21" s="90">
        <v>248182</v>
      </c>
      <c r="C21" s="90">
        <v>412237</v>
      </c>
      <c r="D21">
        <f t="shared" si="0"/>
        <v>248182</v>
      </c>
      <c r="E21">
        <f t="shared" si="2"/>
        <v>0</v>
      </c>
      <c r="Y21">
        <v>5</v>
      </c>
      <c r="Z21" s="30">
        <f t="shared" si="1"/>
        <v>100000</v>
      </c>
    </row>
    <row r="22" spans="1:26" x14ac:dyDescent="0.2">
      <c r="A22">
        <v>7</v>
      </c>
      <c r="B22" s="90">
        <v>282484</v>
      </c>
      <c r="C22" s="90">
        <v>413168</v>
      </c>
      <c r="D22">
        <f t="shared" si="0"/>
        <v>282484</v>
      </c>
      <c r="E22">
        <f t="shared" si="2"/>
        <v>1</v>
      </c>
      <c r="Y22">
        <v>6</v>
      </c>
      <c r="Z22" s="30">
        <f t="shared" si="1"/>
        <v>1000000</v>
      </c>
    </row>
    <row r="23" spans="1:26" x14ac:dyDescent="0.2">
      <c r="A23">
        <v>8</v>
      </c>
      <c r="B23" s="90">
        <v>369450</v>
      </c>
      <c r="C23" s="90">
        <v>428933</v>
      </c>
      <c r="D23">
        <f t="shared" si="0"/>
        <v>369450</v>
      </c>
      <c r="E23">
        <f t="shared" si="2"/>
        <v>1</v>
      </c>
      <c r="Y23">
        <v>7</v>
      </c>
      <c r="Z23" s="30">
        <f t="shared" si="1"/>
        <v>10000000</v>
      </c>
    </row>
    <row r="24" spans="1:26" x14ac:dyDescent="0.2">
      <c r="A24">
        <v>9</v>
      </c>
      <c r="B24" s="90">
        <v>440488</v>
      </c>
      <c r="C24" s="90">
        <v>435943</v>
      </c>
      <c r="D24">
        <f t="shared" si="0"/>
        <v>440488</v>
      </c>
      <c r="E24">
        <f t="shared" si="2"/>
        <v>6</v>
      </c>
      <c r="Y24">
        <v>8</v>
      </c>
      <c r="Z24" s="30">
        <f t="shared" si="1"/>
        <v>100000000</v>
      </c>
    </row>
    <row r="25" spans="1:26" x14ac:dyDescent="0.2">
      <c r="A25">
        <v>10</v>
      </c>
      <c r="B25" s="90">
        <v>453498</v>
      </c>
      <c r="C25" s="90">
        <v>472480</v>
      </c>
      <c r="D25">
        <f t="shared" si="0"/>
        <v>453498</v>
      </c>
      <c r="E25">
        <f t="shared" si="2"/>
        <v>0</v>
      </c>
      <c r="Y25">
        <v>9</v>
      </c>
      <c r="Z25" s="30">
        <f t="shared" si="1"/>
        <v>1000000000</v>
      </c>
    </row>
    <row r="26" spans="1:26" x14ac:dyDescent="0.2">
      <c r="A26">
        <v>11</v>
      </c>
      <c r="B26" s="90">
        <v>751568</v>
      </c>
      <c r="C26" s="90">
        <v>477685</v>
      </c>
      <c r="D26">
        <f t="shared" si="0"/>
        <v>751568</v>
      </c>
      <c r="E26">
        <f t="shared" si="2"/>
        <v>3</v>
      </c>
      <c r="Z26" s="30"/>
    </row>
    <row r="27" spans="1:26" x14ac:dyDescent="0.2">
      <c r="A27">
        <v>12</v>
      </c>
      <c r="B27" s="90">
        <v>1229900</v>
      </c>
      <c r="C27" s="90">
        <v>739373</v>
      </c>
      <c r="D27">
        <f t="shared" si="0"/>
        <v>1229900</v>
      </c>
      <c r="E27">
        <f t="shared" si="2"/>
        <v>0</v>
      </c>
      <c r="Z27" s="30"/>
    </row>
    <row r="28" spans="1:26" x14ac:dyDescent="0.2">
      <c r="A28">
        <v>13</v>
      </c>
      <c r="B28" s="90"/>
      <c r="C28" s="90"/>
      <c r="D28" t="str">
        <f t="shared" si="0"/>
        <v/>
      </c>
      <c r="E28" t="str">
        <f t="shared" si="2"/>
        <v/>
      </c>
      <c r="Z28" s="30"/>
    </row>
    <row r="29" spans="1:26" x14ac:dyDescent="0.2">
      <c r="A29">
        <v>14</v>
      </c>
      <c r="B29" s="90"/>
      <c r="C29" s="90"/>
      <c r="D29" t="str">
        <f t="shared" si="0"/>
        <v/>
      </c>
      <c r="E29" t="str">
        <f t="shared" si="2"/>
        <v/>
      </c>
      <c r="Z29" s="30"/>
    </row>
    <row r="30" spans="1:26" x14ac:dyDescent="0.2">
      <c r="A30">
        <v>15</v>
      </c>
      <c r="B30" s="90"/>
      <c r="C30" s="90"/>
      <c r="D30" t="str">
        <f t="shared" si="0"/>
        <v/>
      </c>
      <c r="E30" t="str">
        <f t="shared" si="2"/>
        <v/>
      </c>
      <c r="Z30" s="30"/>
    </row>
    <row r="31" spans="1:26" x14ac:dyDescent="0.2">
      <c r="A31">
        <v>16</v>
      </c>
      <c r="B31" s="90"/>
      <c r="C31" s="90"/>
      <c r="D31" t="str">
        <f t="shared" si="0"/>
        <v/>
      </c>
      <c r="E31" t="str">
        <f t="shared" si="2"/>
        <v/>
      </c>
      <c r="Z31" s="30"/>
    </row>
    <row r="32" spans="1:26" x14ac:dyDescent="0.2">
      <c r="A32">
        <v>17</v>
      </c>
      <c r="B32" s="90"/>
      <c r="C32" s="90"/>
      <c r="D32" t="str">
        <f t="shared" si="0"/>
        <v/>
      </c>
      <c r="E32" t="str">
        <f t="shared" si="2"/>
        <v/>
      </c>
      <c r="Z32" s="30"/>
    </row>
    <row r="33" spans="1:26" x14ac:dyDescent="0.2">
      <c r="A33">
        <v>18</v>
      </c>
      <c r="B33" s="90"/>
      <c r="C33" s="90"/>
      <c r="D33" t="str">
        <f t="shared" si="0"/>
        <v/>
      </c>
      <c r="E33" t="str">
        <f t="shared" si="2"/>
        <v/>
      </c>
      <c r="Z33" s="30"/>
    </row>
    <row r="34" spans="1:26" x14ac:dyDescent="0.2">
      <c r="A34">
        <v>19</v>
      </c>
      <c r="B34" s="90"/>
      <c r="C34" s="90"/>
      <c r="D34" t="str">
        <f t="shared" si="0"/>
        <v/>
      </c>
      <c r="E34" t="str">
        <f t="shared" si="2"/>
        <v/>
      </c>
      <c r="Z34" s="30"/>
    </row>
    <row r="35" spans="1:26" x14ac:dyDescent="0.2">
      <c r="A35">
        <v>20</v>
      </c>
      <c r="B35" s="90"/>
      <c r="C35" s="90"/>
      <c r="D35" t="str">
        <f t="shared" si="0"/>
        <v/>
      </c>
      <c r="E35" t="str">
        <f t="shared" si="2"/>
        <v/>
      </c>
      <c r="Z35" s="30"/>
    </row>
    <row r="36" spans="1:26" x14ac:dyDescent="0.2">
      <c r="A36">
        <v>21</v>
      </c>
      <c r="B36" s="90"/>
      <c r="C36" s="90"/>
      <c r="D36" t="str">
        <f t="shared" si="0"/>
        <v/>
      </c>
      <c r="E36" t="str">
        <f t="shared" si="2"/>
        <v/>
      </c>
      <c r="Z36" s="30"/>
    </row>
    <row r="37" spans="1:26" x14ac:dyDescent="0.2">
      <c r="A37">
        <v>22</v>
      </c>
      <c r="B37" s="90"/>
      <c r="C37" s="90"/>
      <c r="D37" t="str">
        <f t="shared" si="0"/>
        <v/>
      </c>
      <c r="E37" t="str">
        <f t="shared" si="2"/>
        <v/>
      </c>
      <c r="Z37" s="30"/>
    </row>
    <row r="38" spans="1:26" x14ac:dyDescent="0.2">
      <c r="A38">
        <v>23</v>
      </c>
      <c r="B38" s="90"/>
      <c r="C38" s="90"/>
      <c r="D38" t="str">
        <f t="shared" si="0"/>
        <v/>
      </c>
      <c r="E38" t="str">
        <f t="shared" si="2"/>
        <v/>
      </c>
      <c r="Z38" s="30"/>
    </row>
    <row r="39" spans="1:26" x14ac:dyDescent="0.2">
      <c r="A39">
        <v>24</v>
      </c>
      <c r="B39" s="90"/>
      <c r="C39" s="90"/>
      <c r="D39" t="str">
        <f t="shared" si="0"/>
        <v/>
      </c>
      <c r="E39" t="str">
        <f t="shared" si="2"/>
        <v/>
      </c>
      <c r="Z39" s="30"/>
    </row>
    <row r="40" spans="1:26" x14ac:dyDescent="0.2">
      <c r="A40">
        <v>25</v>
      </c>
      <c r="B40" s="90"/>
      <c r="C40" s="90"/>
      <c r="D40" t="str">
        <f t="shared" si="0"/>
        <v/>
      </c>
      <c r="E40" t="str">
        <f t="shared" si="2"/>
        <v/>
      </c>
      <c r="Z40" s="30"/>
    </row>
    <row r="41" spans="1:26" x14ac:dyDescent="0.2">
      <c r="A41">
        <v>26</v>
      </c>
      <c r="B41" s="90"/>
      <c r="C41" s="90"/>
      <c r="D41" t="str">
        <f t="shared" si="0"/>
        <v/>
      </c>
      <c r="E41" t="str">
        <f t="shared" si="2"/>
        <v/>
      </c>
      <c r="Z41" s="30"/>
    </row>
    <row r="42" spans="1:26" x14ac:dyDescent="0.2">
      <c r="A42">
        <v>27</v>
      </c>
      <c r="B42" s="90"/>
      <c r="C42" s="90"/>
      <c r="D42" t="str">
        <f t="shared" si="0"/>
        <v/>
      </c>
      <c r="E42" t="str">
        <f t="shared" si="2"/>
        <v/>
      </c>
      <c r="Z42" s="30"/>
    </row>
    <row r="43" spans="1:26" x14ac:dyDescent="0.2">
      <c r="A43">
        <v>28</v>
      </c>
      <c r="B43" s="90"/>
      <c r="C43" s="90"/>
      <c r="D43" t="str">
        <f t="shared" si="0"/>
        <v/>
      </c>
      <c r="E43" t="str">
        <f t="shared" si="2"/>
        <v/>
      </c>
      <c r="Z43" s="30"/>
    </row>
    <row r="44" spans="1:26" x14ac:dyDescent="0.2">
      <c r="A44">
        <v>29</v>
      </c>
      <c r="B44" s="90"/>
      <c r="C44" s="90"/>
      <c r="D44" t="str">
        <f t="shared" si="0"/>
        <v/>
      </c>
      <c r="E44" t="str">
        <f t="shared" si="2"/>
        <v/>
      </c>
      <c r="Z44" s="30"/>
    </row>
    <row r="45" spans="1:26" x14ac:dyDescent="0.2">
      <c r="A45">
        <v>30</v>
      </c>
      <c r="B45" s="90"/>
      <c r="C45" s="90"/>
      <c r="D45" t="str">
        <f t="shared" si="0"/>
        <v/>
      </c>
      <c r="E45" t="str">
        <f t="shared" si="2"/>
        <v/>
      </c>
      <c r="Z45" s="30"/>
    </row>
    <row r="46" spans="1:26" x14ac:dyDescent="0.2">
      <c r="A46">
        <v>31</v>
      </c>
      <c r="B46" s="90"/>
      <c r="C46" s="90"/>
      <c r="D46" t="str">
        <f t="shared" si="0"/>
        <v/>
      </c>
      <c r="E46" t="str">
        <f t="shared" si="2"/>
        <v/>
      </c>
      <c r="Z46" s="30"/>
    </row>
    <row r="47" spans="1:26" x14ac:dyDescent="0.2">
      <c r="A47">
        <v>32</v>
      </c>
      <c r="B47" s="90"/>
      <c r="C47" s="90"/>
      <c r="D47" t="str">
        <f t="shared" si="0"/>
        <v/>
      </c>
      <c r="E47" t="str">
        <f t="shared" si="2"/>
        <v/>
      </c>
      <c r="Z47" s="30"/>
    </row>
    <row r="48" spans="1:26" x14ac:dyDescent="0.2">
      <c r="A48">
        <v>33</v>
      </c>
      <c r="B48" s="90"/>
      <c r="C48" s="90"/>
      <c r="D48" t="str">
        <f t="shared" ref="D48:D79" si="3">IF($B$7&gt;=A48,SMALL($B$16:$B$115,A48),"")</f>
        <v/>
      </c>
      <c r="E48" t="str">
        <f t="shared" si="2"/>
        <v/>
      </c>
      <c r="Z48" s="30"/>
    </row>
    <row r="49" spans="1:26" x14ac:dyDescent="0.2">
      <c r="A49">
        <v>34</v>
      </c>
      <c r="B49" s="90"/>
      <c r="C49" s="90"/>
      <c r="D49" t="str">
        <f t="shared" si="3"/>
        <v/>
      </c>
      <c r="E49" t="str">
        <f t="shared" si="2"/>
        <v/>
      </c>
      <c r="Z49" s="30"/>
    </row>
    <row r="50" spans="1:26" x14ac:dyDescent="0.2">
      <c r="A50">
        <v>35</v>
      </c>
      <c r="B50" s="90"/>
      <c r="C50" s="90"/>
      <c r="D50" t="str">
        <f t="shared" si="3"/>
        <v/>
      </c>
      <c r="E50" t="str">
        <f t="shared" si="2"/>
        <v/>
      </c>
      <c r="Z50" s="30"/>
    </row>
    <row r="51" spans="1:26" x14ac:dyDescent="0.2">
      <c r="A51">
        <v>36</v>
      </c>
      <c r="B51" s="90"/>
      <c r="C51" s="90"/>
      <c r="D51" t="str">
        <f t="shared" si="3"/>
        <v/>
      </c>
      <c r="E51" t="str">
        <f t="shared" si="2"/>
        <v/>
      </c>
      <c r="Z51" s="30"/>
    </row>
    <row r="52" spans="1:26" x14ac:dyDescent="0.2">
      <c r="A52">
        <v>37</v>
      </c>
      <c r="B52" s="90"/>
      <c r="C52" s="90"/>
      <c r="D52" t="str">
        <f t="shared" si="3"/>
        <v/>
      </c>
      <c r="E52" t="str">
        <f t="shared" si="2"/>
        <v/>
      </c>
      <c r="Z52" s="30"/>
    </row>
    <row r="53" spans="1:26" x14ac:dyDescent="0.2">
      <c r="A53">
        <v>38</v>
      </c>
      <c r="B53" s="90"/>
      <c r="C53" s="90"/>
      <c r="D53" t="str">
        <f t="shared" si="3"/>
        <v/>
      </c>
      <c r="E53" t="str">
        <f t="shared" si="2"/>
        <v/>
      </c>
    </row>
    <row r="54" spans="1:26" x14ac:dyDescent="0.2">
      <c r="A54">
        <v>39</v>
      </c>
      <c r="B54" s="90"/>
      <c r="C54" s="90"/>
      <c r="D54" t="str">
        <f t="shared" si="3"/>
        <v/>
      </c>
      <c r="E54" t="str">
        <f t="shared" si="2"/>
        <v/>
      </c>
    </row>
    <row r="55" spans="1:26" x14ac:dyDescent="0.2">
      <c r="A55">
        <v>40</v>
      </c>
      <c r="B55" s="90"/>
      <c r="C55" s="90"/>
      <c r="D55" t="str">
        <f t="shared" si="3"/>
        <v/>
      </c>
      <c r="E55" t="str">
        <f t="shared" si="2"/>
        <v/>
      </c>
    </row>
    <row r="56" spans="1:26" x14ac:dyDescent="0.2">
      <c r="A56">
        <v>41</v>
      </c>
      <c r="B56" s="90"/>
      <c r="C56" s="90"/>
      <c r="D56" t="str">
        <f t="shared" si="3"/>
        <v/>
      </c>
      <c r="E56" t="str">
        <f t="shared" si="2"/>
        <v/>
      </c>
    </row>
    <row r="57" spans="1:26" x14ac:dyDescent="0.2">
      <c r="A57">
        <v>42</v>
      </c>
      <c r="B57" s="90"/>
      <c r="C57" s="90"/>
      <c r="D57" t="str">
        <f t="shared" si="3"/>
        <v/>
      </c>
      <c r="E57" t="str">
        <f t="shared" si="2"/>
        <v/>
      </c>
    </row>
    <row r="58" spans="1:26" x14ac:dyDescent="0.2">
      <c r="A58">
        <v>43</v>
      </c>
      <c r="B58" s="90"/>
      <c r="C58" s="90"/>
      <c r="D58" t="str">
        <f t="shared" si="3"/>
        <v/>
      </c>
      <c r="E58" t="str">
        <f t="shared" si="2"/>
        <v/>
      </c>
    </row>
    <row r="59" spans="1:26" x14ac:dyDescent="0.2">
      <c r="A59">
        <v>44</v>
      </c>
      <c r="B59" s="90"/>
      <c r="C59" s="90"/>
      <c r="D59" t="str">
        <f t="shared" si="3"/>
        <v/>
      </c>
      <c r="E59" t="str">
        <f t="shared" si="2"/>
        <v/>
      </c>
    </row>
    <row r="60" spans="1:26" x14ac:dyDescent="0.2">
      <c r="A60">
        <v>45</v>
      </c>
      <c r="B60" s="90"/>
      <c r="C60" s="90"/>
      <c r="D60" t="str">
        <f t="shared" si="3"/>
        <v/>
      </c>
      <c r="E60" t="str">
        <f t="shared" si="2"/>
        <v/>
      </c>
    </row>
    <row r="61" spans="1:26" x14ac:dyDescent="0.2">
      <c r="A61">
        <v>46</v>
      </c>
      <c r="B61" s="90"/>
      <c r="C61" s="90"/>
      <c r="D61" t="str">
        <f t="shared" si="3"/>
        <v/>
      </c>
      <c r="E61" t="str">
        <f t="shared" si="2"/>
        <v/>
      </c>
    </row>
    <row r="62" spans="1:26" x14ac:dyDescent="0.2">
      <c r="A62">
        <v>47</v>
      </c>
      <c r="B62" s="90"/>
      <c r="C62" s="90"/>
      <c r="D62" t="str">
        <f t="shared" si="3"/>
        <v/>
      </c>
      <c r="E62" t="str">
        <f t="shared" si="2"/>
        <v/>
      </c>
    </row>
    <row r="63" spans="1:26" x14ac:dyDescent="0.2">
      <c r="A63">
        <v>48</v>
      </c>
      <c r="B63" s="90"/>
      <c r="C63" s="90"/>
      <c r="D63" t="str">
        <f t="shared" si="3"/>
        <v/>
      </c>
      <c r="E63" t="str">
        <f t="shared" si="2"/>
        <v/>
      </c>
    </row>
    <row r="64" spans="1:26" x14ac:dyDescent="0.2">
      <c r="A64">
        <v>49</v>
      </c>
      <c r="B64" s="90"/>
      <c r="C64" s="90"/>
      <c r="D64" t="str">
        <f t="shared" si="3"/>
        <v/>
      </c>
      <c r="E64" t="str">
        <f t="shared" si="2"/>
        <v/>
      </c>
    </row>
    <row r="65" spans="1:5" x14ac:dyDescent="0.2">
      <c r="A65">
        <v>50</v>
      </c>
      <c r="B65" s="90"/>
      <c r="C65" s="90"/>
      <c r="D65" t="str">
        <f t="shared" si="3"/>
        <v/>
      </c>
      <c r="E65" t="str">
        <f t="shared" si="2"/>
        <v/>
      </c>
    </row>
    <row r="66" spans="1:5" x14ac:dyDescent="0.2">
      <c r="A66">
        <v>51</v>
      </c>
      <c r="B66" s="90"/>
      <c r="C66" s="90"/>
      <c r="D66" t="str">
        <f t="shared" si="3"/>
        <v/>
      </c>
      <c r="E66" t="str">
        <f t="shared" si="2"/>
        <v/>
      </c>
    </row>
    <row r="67" spans="1:5" x14ac:dyDescent="0.2">
      <c r="A67">
        <v>52</v>
      </c>
      <c r="B67" s="90"/>
      <c r="C67" s="90"/>
      <c r="D67" t="str">
        <f t="shared" si="3"/>
        <v/>
      </c>
      <c r="E67" t="str">
        <f t="shared" si="2"/>
        <v/>
      </c>
    </row>
    <row r="68" spans="1:5" x14ac:dyDescent="0.2">
      <c r="A68">
        <v>53</v>
      </c>
      <c r="B68" s="90"/>
      <c r="C68" s="90"/>
      <c r="D68" t="str">
        <f t="shared" si="3"/>
        <v/>
      </c>
      <c r="E68" t="str">
        <f t="shared" si="2"/>
        <v/>
      </c>
    </row>
    <row r="69" spans="1:5" x14ac:dyDescent="0.2">
      <c r="A69">
        <v>54</v>
      </c>
      <c r="B69" s="90"/>
      <c r="C69" s="90"/>
      <c r="D69" t="str">
        <f t="shared" si="3"/>
        <v/>
      </c>
      <c r="E69" t="str">
        <f t="shared" si="2"/>
        <v/>
      </c>
    </row>
    <row r="70" spans="1:5" x14ac:dyDescent="0.2">
      <c r="A70">
        <v>55</v>
      </c>
      <c r="B70" s="90"/>
      <c r="C70" s="90"/>
      <c r="D70" t="str">
        <f t="shared" si="3"/>
        <v/>
      </c>
      <c r="E70" t="str">
        <f t="shared" si="2"/>
        <v/>
      </c>
    </row>
    <row r="71" spans="1:5" x14ac:dyDescent="0.2">
      <c r="A71">
        <v>56</v>
      </c>
      <c r="B71" s="90"/>
      <c r="C71" s="90"/>
      <c r="D71" t="str">
        <f t="shared" si="3"/>
        <v/>
      </c>
      <c r="E71" t="str">
        <f t="shared" si="2"/>
        <v/>
      </c>
    </row>
    <row r="72" spans="1:5" x14ac:dyDescent="0.2">
      <c r="A72">
        <v>57</v>
      </c>
      <c r="B72" s="90"/>
      <c r="C72" s="90"/>
      <c r="D72" t="str">
        <f t="shared" si="3"/>
        <v/>
      </c>
      <c r="E72" t="str">
        <f t="shared" si="2"/>
        <v/>
      </c>
    </row>
    <row r="73" spans="1:5" x14ac:dyDescent="0.2">
      <c r="A73">
        <v>58</v>
      </c>
      <c r="B73" s="90"/>
      <c r="C73" s="90"/>
      <c r="D73" t="str">
        <f t="shared" si="3"/>
        <v/>
      </c>
      <c r="E73" t="str">
        <f t="shared" si="2"/>
        <v/>
      </c>
    </row>
    <row r="74" spans="1:5" x14ac:dyDescent="0.2">
      <c r="A74">
        <v>59</v>
      </c>
      <c r="B74" s="90"/>
      <c r="C74" s="90"/>
      <c r="D74" t="str">
        <f t="shared" si="3"/>
        <v/>
      </c>
      <c r="E74" t="str">
        <f t="shared" si="2"/>
        <v/>
      </c>
    </row>
    <row r="75" spans="1:5" x14ac:dyDescent="0.2">
      <c r="A75">
        <v>60</v>
      </c>
      <c r="B75" s="90"/>
      <c r="C75" s="90"/>
      <c r="D75" t="str">
        <f t="shared" si="3"/>
        <v/>
      </c>
      <c r="E75" t="str">
        <f t="shared" si="2"/>
        <v/>
      </c>
    </row>
    <row r="76" spans="1:5" x14ac:dyDescent="0.2">
      <c r="A76">
        <v>61</v>
      </c>
      <c r="B76" s="90"/>
      <c r="C76" s="90"/>
      <c r="D76" t="str">
        <f t="shared" si="3"/>
        <v/>
      </c>
      <c r="E76" t="str">
        <f t="shared" si="2"/>
        <v/>
      </c>
    </row>
    <row r="77" spans="1:5" x14ac:dyDescent="0.2">
      <c r="A77">
        <v>62</v>
      </c>
      <c r="B77" s="90"/>
      <c r="C77" s="90"/>
      <c r="D77" t="str">
        <f t="shared" si="3"/>
        <v/>
      </c>
      <c r="E77" t="str">
        <f t="shared" si="2"/>
        <v/>
      </c>
    </row>
    <row r="78" spans="1:5" x14ac:dyDescent="0.2">
      <c r="A78">
        <v>63</v>
      </c>
      <c r="B78" s="90"/>
      <c r="C78" s="90"/>
      <c r="D78" t="str">
        <f t="shared" si="3"/>
        <v/>
      </c>
      <c r="E78" t="str">
        <f t="shared" si="2"/>
        <v/>
      </c>
    </row>
    <row r="79" spans="1:5" x14ac:dyDescent="0.2">
      <c r="A79">
        <v>64</v>
      </c>
      <c r="B79" s="90"/>
      <c r="C79" s="90"/>
      <c r="D79" t="str">
        <f t="shared" si="3"/>
        <v/>
      </c>
      <c r="E79" t="str">
        <f t="shared" si="2"/>
        <v/>
      </c>
    </row>
    <row r="80" spans="1:5" x14ac:dyDescent="0.2">
      <c r="A80">
        <v>65</v>
      </c>
      <c r="B80" s="90"/>
      <c r="C80" s="90"/>
      <c r="D80" t="str">
        <f t="shared" ref="D80:D115" si="4">IF($B$7&gt;=A80,SMALL($B$16:$B$115,A80),"")</f>
        <v/>
      </c>
      <c r="E80" t="str">
        <f t="shared" si="2"/>
        <v/>
      </c>
    </row>
    <row r="81" spans="1:5" x14ac:dyDescent="0.2">
      <c r="A81">
        <v>66</v>
      </c>
      <c r="B81" s="90"/>
      <c r="C81" s="90"/>
      <c r="D81" t="str">
        <f t="shared" si="4"/>
        <v/>
      </c>
      <c r="E81" t="str">
        <f t="shared" si="2"/>
        <v/>
      </c>
    </row>
    <row r="82" spans="1:5" x14ac:dyDescent="0.2">
      <c r="A82">
        <v>67</v>
      </c>
      <c r="B82" s="90"/>
      <c r="C82" s="90"/>
      <c r="D82" t="str">
        <f t="shared" si="4"/>
        <v/>
      </c>
      <c r="E82" t="str">
        <f t="shared" ref="E82:E115" si="5">IF(ISNUMBER(D82),FREQUENCY($C$16:$C$115,D82)-FREQUENCY($C$16:$C$115,D81),"")</f>
        <v/>
      </c>
    </row>
    <row r="83" spans="1:5" x14ac:dyDescent="0.2">
      <c r="A83">
        <v>68</v>
      </c>
      <c r="B83" s="90"/>
      <c r="C83" s="90"/>
      <c r="D83" t="str">
        <f t="shared" si="4"/>
        <v/>
      </c>
      <c r="E83" t="str">
        <f t="shared" si="5"/>
        <v/>
      </c>
    </row>
    <row r="84" spans="1:5" x14ac:dyDescent="0.2">
      <c r="A84">
        <v>69</v>
      </c>
      <c r="B84" s="90"/>
      <c r="C84" s="90"/>
      <c r="D84" t="str">
        <f t="shared" si="4"/>
        <v/>
      </c>
      <c r="E84" t="str">
        <f t="shared" si="5"/>
        <v/>
      </c>
    </row>
    <row r="85" spans="1:5" x14ac:dyDescent="0.2">
      <c r="A85">
        <v>70</v>
      </c>
      <c r="B85" s="90"/>
      <c r="C85" s="90"/>
      <c r="D85" t="str">
        <f t="shared" si="4"/>
        <v/>
      </c>
      <c r="E85" t="str">
        <f t="shared" si="5"/>
        <v/>
      </c>
    </row>
    <row r="86" spans="1:5" x14ac:dyDescent="0.2">
      <c r="A86">
        <v>71</v>
      </c>
      <c r="B86" s="90"/>
      <c r="C86" s="90"/>
      <c r="D86" t="str">
        <f t="shared" si="4"/>
        <v/>
      </c>
      <c r="E86" t="str">
        <f t="shared" si="5"/>
        <v/>
      </c>
    </row>
    <row r="87" spans="1:5" x14ac:dyDescent="0.2">
      <c r="A87">
        <v>72</v>
      </c>
      <c r="B87" s="90"/>
      <c r="C87" s="90"/>
      <c r="D87" t="str">
        <f t="shared" si="4"/>
        <v/>
      </c>
      <c r="E87" t="str">
        <f t="shared" si="5"/>
        <v/>
      </c>
    </row>
    <row r="88" spans="1:5" x14ac:dyDescent="0.2">
      <c r="A88">
        <v>73</v>
      </c>
      <c r="B88" s="90"/>
      <c r="C88" s="90"/>
      <c r="D88" t="str">
        <f t="shared" si="4"/>
        <v/>
      </c>
      <c r="E88" t="str">
        <f t="shared" si="5"/>
        <v/>
      </c>
    </row>
    <row r="89" spans="1:5" x14ac:dyDescent="0.2">
      <c r="A89">
        <v>74</v>
      </c>
      <c r="B89" s="90"/>
      <c r="C89" s="90"/>
      <c r="D89" t="str">
        <f t="shared" si="4"/>
        <v/>
      </c>
      <c r="E89" t="str">
        <f t="shared" si="5"/>
        <v/>
      </c>
    </row>
    <row r="90" spans="1:5" x14ac:dyDescent="0.2">
      <c r="A90">
        <v>75</v>
      </c>
      <c r="B90" s="90"/>
      <c r="C90" s="90"/>
      <c r="D90" t="str">
        <f t="shared" si="4"/>
        <v/>
      </c>
      <c r="E90" t="str">
        <f t="shared" si="5"/>
        <v/>
      </c>
    </row>
    <row r="91" spans="1:5" x14ac:dyDescent="0.2">
      <c r="A91">
        <v>76</v>
      </c>
      <c r="B91" s="90"/>
      <c r="C91" s="90"/>
      <c r="D91" t="str">
        <f t="shared" si="4"/>
        <v/>
      </c>
      <c r="E91" t="str">
        <f t="shared" si="5"/>
        <v/>
      </c>
    </row>
    <row r="92" spans="1:5" x14ac:dyDescent="0.2">
      <c r="A92">
        <v>77</v>
      </c>
      <c r="B92" s="90"/>
      <c r="C92" s="90"/>
      <c r="D92" t="str">
        <f t="shared" si="4"/>
        <v/>
      </c>
      <c r="E92" t="str">
        <f t="shared" si="5"/>
        <v/>
      </c>
    </row>
    <row r="93" spans="1:5" x14ac:dyDescent="0.2">
      <c r="A93">
        <v>78</v>
      </c>
      <c r="B93" s="90"/>
      <c r="C93" s="90"/>
      <c r="D93" t="str">
        <f t="shared" si="4"/>
        <v/>
      </c>
      <c r="E93" t="str">
        <f t="shared" si="5"/>
        <v/>
      </c>
    </row>
    <row r="94" spans="1:5" x14ac:dyDescent="0.2">
      <c r="A94">
        <v>79</v>
      </c>
      <c r="B94" s="90"/>
      <c r="C94" s="90"/>
      <c r="D94" t="str">
        <f t="shared" si="4"/>
        <v/>
      </c>
      <c r="E94" t="str">
        <f t="shared" si="5"/>
        <v/>
      </c>
    </row>
    <row r="95" spans="1:5" x14ac:dyDescent="0.2">
      <c r="A95">
        <v>80</v>
      </c>
      <c r="B95" s="90"/>
      <c r="C95" s="90"/>
      <c r="D95" t="str">
        <f t="shared" si="4"/>
        <v/>
      </c>
      <c r="E95" t="str">
        <f t="shared" si="5"/>
        <v/>
      </c>
    </row>
    <row r="96" spans="1:5" x14ac:dyDescent="0.2">
      <c r="A96">
        <v>81</v>
      </c>
      <c r="B96" s="90"/>
      <c r="C96" s="90"/>
      <c r="D96" t="str">
        <f t="shared" si="4"/>
        <v/>
      </c>
      <c r="E96" t="str">
        <f t="shared" si="5"/>
        <v/>
      </c>
    </row>
    <row r="97" spans="1:5" x14ac:dyDescent="0.2">
      <c r="A97">
        <v>82</v>
      </c>
      <c r="B97" s="90"/>
      <c r="C97" s="90"/>
      <c r="D97" t="str">
        <f t="shared" si="4"/>
        <v/>
      </c>
      <c r="E97" t="str">
        <f t="shared" si="5"/>
        <v/>
      </c>
    </row>
    <row r="98" spans="1:5" x14ac:dyDescent="0.2">
      <c r="A98">
        <v>83</v>
      </c>
      <c r="B98" s="90"/>
      <c r="C98" s="90"/>
      <c r="D98" t="str">
        <f t="shared" si="4"/>
        <v/>
      </c>
      <c r="E98" t="str">
        <f t="shared" si="5"/>
        <v/>
      </c>
    </row>
    <row r="99" spans="1:5" x14ac:dyDescent="0.2">
      <c r="A99">
        <v>84</v>
      </c>
      <c r="B99" s="90"/>
      <c r="C99" s="90"/>
      <c r="D99" t="str">
        <f t="shared" si="4"/>
        <v/>
      </c>
      <c r="E99" t="str">
        <f t="shared" si="5"/>
        <v/>
      </c>
    </row>
    <row r="100" spans="1:5" x14ac:dyDescent="0.2">
      <c r="A100">
        <v>85</v>
      </c>
      <c r="B100" s="90"/>
      <c r="C100" s="90"/>
      <c r="D100" t="str">
        <f t="shared" si="4"/>
        <v/>
      </c>
      <c r="E100" t="str">
        <f t="shared" si="5"/>
        <v/>
      </c>
    </row>
    <row r="101" spans="1:5" x14ac:dyDescent="0.2">
      <c r="A101">
        <v>86</v>
      </c>
      <c r="B101" s="90"/>
      <c r="C101" s="90"/>
      <c r="D101" t="str">
        <f t="shared" si="4"/>
        <v/>
      </c>
      <c r="E101" t="str">
        <f t="shared" si="5"/>
        <v/>
      </c>
    </row>
    <row r="102" spans="1:5" x14ac:dyDescent="0.2">
      <c r="A102">
        <v>87</v>
      </c>
      <c r="B102" s="90"/>
      <c r="C102" s="90"/>
      <c r="D102" t="str">
        <f t="shared" si="4"/>
        <v/>
      </c>
      <c r="E102" t="str">
        <f t="shared" si="5"/>
        <v/>
      </c>
    </row>
    <row r="103" spans="1:5" x14ac:dyDescent="0.2">
      <c r="A103">
        <v>88</v>
      </c>
      <c r="B103" s="90"/>
      <c r="C103" s="90"/>
      <c r="D103" t="str">
        <f t="shared" si="4"/>
        <v/>
      </c>
      <c r="E103" t="str">
        <f t="shared" si="5"/>
        <v/>
      </c>
    </row>
    <row r="104" spans="1:5" x14ac:dyDescent="0.2">
      <c r="A104">
        <v>89</v>
      </c>
      <c r="B104" s="90"/>
      <c r="C104" s="90"/>
      <c r="D104" t="str">
        <f t="shared" si="4"/>
        <v/>
      </c>
      <c r="E104" t="str">
        <f t="shared" si="5"/>
        <v/>
      </c>
    </row>
    <row r="105" spans="1:5" x14ac:dyDescent="0.2">
      <c r="A105">
        <v>90</v>
      </c>
      <c r="B105" s="90"/>
      <c r="C105" s="90"/>
      <c r="D105" t="str">
        <f t="shared" si="4"/>
        <v/>
      </c>
      <c r="E105" t="str">
        <f t="shared" si="5"/>
        <v/>
      </c>
    </row>
    <row r="106" spans="1:5" x14ac:dyDescent="0.2">
      <c r="A106">
        <v>91</v>
      </c>
      <c r="B106" s="90"/>
      <c r="C106" s="90"/>
      <c r="D106" t="str">
        <f t="shared" si="4"/>
        <v/>
      </c>
      <c r="E106" t="str">
        <f t="shared" si="5"/>
        <v/>
      </c>
    </row>
    <row r="107" spans="1:5" x14ac:dyDescent="0.2">
      <c r="A107">
        <v>92</v>
      </c>
      <c r="B107" s="90"/>
      <c r="C107" s="90"/>
      <c r="D107" t="str">
        <f t="shared" si="4"/>
        <v/>
      </c>
      <c r="E107" t="str">
        <f t="shared" si="5"/>
        <v/>
      </c>
    </row>
    <row r="108" spans="1:5" x14ac:dyDescent="0.2">
      <c r="A108">
        <v>93</v>
      </c>
      <c r="B108" s="90"/>
      <c r="C108" s="90"/>
      <c r="D108" t="str">
        <f t="shared" si="4"/>
        <v/>
      </c>
      <c r="E108" t="str">
        <f t="shared" si="5"/>
        <v/>
      </c>
    </row>
    <row r="109" spans="1:5" x14ac:dyDescent="0.2">
      <c r="A109">
        <v>94</v>
      </c>
      <c r="B109" s="90"/>
      <c r="C109" s="90"/>
      <c r="D109" t="str">
        <f t="shared" si="4"/>
        <v/>
      </c>
      <c r="E109" t="str">
        <f t="shared" si="5"/>
        <v/>
      </c>
    </row>
    <row r="110" spans="1:5" x14ac:dyDescent="0.2">
      <c r="A110">
        <v>95</v>
      </c>
      <c r="B110" s="90"/>
      <c r="C110" s="90"/>
      <c r="D110" t="str">
        <f t="shared" si="4"/>
        <v/>
      </c>
      <c r="E110" t="str">
        <f t="shared" si="5"/>
        <v/>
      </c>
    </row>
    <row r="111" spans="1:5" x14ac:dyDescent="0.2">
      <c r="A111">
        <v>96</v>
      </c>
      <c r="B111" s="90"/>
      <c r="C111" s="90"/>
      <c r="D111" t="str">
        <f t="shared" si="4"/>
        <v/>
      </c>
      <c r="E111" t="str">
        <f t="shared" si="5"/>
        <v/>
      </c>
    </row>
    <row r="112" spans="1:5" x14ac:dyDescent="0.2">
      <c r="A112">
        <v>97</v>
      </c>
      <c r="B112" s="90"/>
      <c r="C112" s="90"/>
      <c r="D112" t="str">
        <f t="shared" si="4"/>
        <v/>
      </c>
      <c r="E112" t="str">
        <f t="shared" si="5"/>
        <v/>
      </c>
    </row>
    <row r="113" spans="1:5" x14ac:dyDescent="0.2">
      <c r="A113">
        <v>98</v>
      </c>
      <c r="B113" s="90"/>
      <c r="C113" s="90"/>
      <c r="D113" t="str">
        <f t="shared" si="4"/>
        <v/>
      </c>
      <c r="E113" t="str">
        <f t="shared" si="5"/>
        <v/>
      </c>
    </row>
    <row r="114" spans="1:5" x14ac:dyDescent="0.2">
      <c r="A114">
        <v>99</v>
      </c>
      <c r="B114" s="90"/>
      <c r="C114" s="90"/>
      <c r="D114" t="str">
        <f t="shared" si="4"/>
        <v/>
      </c>
      <c r="E114" t="str">
        <f t="shared" si="5"/>
        <v/>
      </c>
    </row>
    <row r="115" spans="1:5" x14ac:dyDescent="0.2">
      <c r="A115">
        <v>100</v>
      </c>
      <c r="B115" s="90"/>
      <c r="C115" s="90"/>
      <c r="D115" t="str">
        <f t="shared" si="4"/>
        <v/>
      </c>
      <c r="E115" t="str">
        <f t="shared" si="5"/>
        <v/>
      </c>
    </row>
  </sheetData>
  <phoneticPr fontId="0" type="noConversion"/>
  <dataValidations count="3">
    <dataValidation type="whole" operator="greaterThan" allowBlank="1" showInputMessage="1" showErrorMessage="1" errorTitle="Gültigkeitsprüfung:" error="Der Stichprobenumfang muss eine ganze Zahl &gt;1 sein" sqref="B6">
      <formula1>1</formula1>
    </dataValidation>
    <dataValidation type="list" allowBlank="1" showInputMessage="1" showErrorMessage="1" sqref="B4">
      <formula1>$Z$16:$Z$25</formula1>
    </dataValidation>
    <dataValidation type="decimal" operator="greaterThan" allowBlank="1" showInputMessage="1" showErrorMessage="1" errorTitle="Gültigkeitsprüfung:" error="Lebensdauern müssen Dezimalzahlen und größer als null sein." sqref="B16:C115">
      <formula1>0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117"/>
  <sheetViews>
    <sheetView zoomScaleNormal="100" workbookViewId="0">
      <selection activeCell="D17" sqref="D17"/>
    </sheetView>
  </sheetViews>
  <sheetFormatPr baseColWidth="10" defaultRowHeight="12.75" x14ac:dyDescent="0.2"/>
  <cols>
    <col min="1" max="1" width="3.7109375" customWidth="1"/>
    <col min="11" max="11" width="3.7109375" customWidth="1"/>
  </cols>
  <sheetData>
    <row r="1" spans="2:33" ht="18.75" x14ac:dyDescent="0.3">
      <c r="B1" s="152" t="s">
        <v>85</v>
      </c>
      <c r="C1" s="153"/>
      <c r="D1" s="153"/>
      <c r="E1" s="153"/>
      <c r="F1" s="153"/>
      <c r="G1" s="153"/>
      <c r="H1" s="153"/>
      <c r="I1" s="153"/>
      <c r="J1" s="154"/>
      <c r="L1" s="1"/>
      <c r="M1" s="1"/>
      <c r="AG1" s="6"/>
    </row>
    <row r="2" spans="2:33" ht="13.5" thickBot="1" x14ac:dyDescent="0.25">
      <c r="B2" s="69"/>
      <c r="C2" s="70"/>
      <c r="D2" s="71"/>
      <c r="E2" s="71"/>
      <c r="F2" s="71"/>
      <c r="G2" s="71"/>
      <c r="H2" s="71"/>
      <c r="I2" s="71"/>
      <c r="J2" s="68"/>
    </row>
    <row r="3" spans="2:33" ht="15.95" customHeight="1" x14ac:dyDescent="0.2">
      <c r="B3" s="72" t="s">
        <v>49</v>
      </c>
      <c r="C3" s="6"/>
      <c r="D3" s="111" t="s">
        <v>72</v>
      </c>
      <c r="H3" s="114"/>
      <c r="J3" s="61"/>
      <c r="L3" t="s">
        <v>50</v>
      </c>
    </row>
    <row r="4" spans="2:33" ht="15.95" customHeight="1" x14ac:dyDescent="0.2">
      <c r="B4" s="101" t="s">
        <v>74</v>
      </c>
      <c r="C4" s="105">
        <f>1/L5</f>
        <v>1.0369653258459159</v>
      </c>
      <c r="D4" s="111" t="s">
        <v>71</v>
      </c>
      <c r="G4" s="1"/>
      <c r="H4" s="114" t="s">
        <v>68</v>
      </c>
      <c r="I4" s="1"/>
      <c r="J4" s="61"/>
      <c r="L4" s="116">
        <f>INTERCEPT(M18:M117,L18:L117)</f>
        <v>13.276270685760327</v>
      </c>
      <c r="M4" s="110" t="s">
        <v>94</v>
      </c>
    </row>
    <row r="5" spans="2:33" ht="15.95" customHeight="1" x14ac:dyDescent="0.2">
      <c r="B5" s="101" t="s">
        <v>74</v>
      </c>
      <c r="C5" s="106">
        <f>D17</f>
        <v>100000</v>
      </c>
      <c r="D5" s="111" t="s">
        <v>76</v>
      </c>
      <c r="H5" s="114" t="str">
        <f>IF(Daten!$B$4=1,CONCATENATE("in ",Daten!$C$4),CONCATENATE("in ",Daten!$B$4," ",Daten!$C$4))</f>
        <v>in Druckwechsel</v>
      </c>
      <c r="J5" s="61"/>
      <c r="L5" s="117">
        <f>SLOPE(M18:M117,L18:L117)</f>
        <v>0.96435239932853001</v>
      </c>
      <c r="M5" s="110" t="s">
        <v>95</v>
      </c>
    </row>
    <row r="6" spans="2:33" ht="15.95" customHeight="1" x14ac:dyDescent="0.2">
      <c r="B6" s="101" t="s">
        <v>74</v>
      </c>
      <c r="C6" s="107">
        <f>C7+D17</f>
        <v>683191.38391568488</v>
      </c>
      <c r="D6" s="112" t="s">
        <v>75</v>
      </c>
      <c r="E6" s="4"/>
      <c r="F6" s="4"/>
      <c r="G6" s="63"/>
      <c r="H6" s="114" t="str">
        <f>IF(Daten!$B$4=1,CONCATENATE("in ",Daten!$C$4),CONCATENATE("in ",Daten!$B$4," ",Daten!$C$4))</f>
        <v>in Druckwechsel</v>
      </c>
      <c r="I6" s="64"/>
      <c r="J6" s="61"/>
      <c r="L6" s="118">
        <f>RSQ(M18:M117,L18:L117)</f>
        <v>0.99187792246984052</v>
      </c>
      <c r="M6" s="110" t="s">
        <v>96</v>
      </c>
    </row>
    <row r="7" spans="2:33" ht="15.95" customHeight="1" x14ac:dyDescent="0.2">
      <c r="B7" s="101" t="s">
        <v>74</v>
      </c>
      <c r="C7" s="62">
        <f>EXP(L4)</f>
        <v>583191.38391568488</v>
      </c>
      <c r="D7" s="111" t="s">
        <v>88</v>
      </c>
      <c r="H7" s="114" t="str">
        <f>IF(Daten!$B$4=1,CONCATENATE("in ",Daten!$C$4),CONCATENATE("in ",Daten!$B$4," ",Daten!$C$4))</f>
        <v>in Druckwechsel</v>
      </c>
      <c r="I7" s="64"/>
      <c r="J7" s="61"/>
      <c r="L7" s="119">
        <f>STEYX(M18:M117,L18:L117)</f>
        <v>0.10708159601231701</v>
      </c>
      <c r="M7" s="110" t="s">
        <v>97</v>
      </c>
    </row>
    <row r="8" spans="2:33" ht="15.95" customHeight="1" x14ac:dyDescent="0.2">
      <c r="B8" s="101" t="s">
        <v>74</v>
      </c>
      <c r="C8" s="121">
        <f>D17+C7*(EXP(GAMMALN(1+1/C4)))</f>
        <v>674705.08855140628</v>
      </c>
      <c r="D8" s="112" t="s">
        <v>77</v>
      </c>
      <c r="E8" s="4"/>
      <c r="F8" s="4"/>
      <c r="G8" s="63"/>
      <c r="H8" s="114" t="str">
        <f>IF(Daten!$B$4=1,CONCATENATE("in ",Daten!$C$4),CONCATENATE("in ",Daten!$B$4," ",Daten!$C$4))</f>
        <v>in Druckwechsel</v>
      </c>
      <c r="I8" s="64"/>
      <c r="J8" s="61"/>
      <c r="L8" s="120">
        <f>COUNT(L18:L117)</f>
        <v>12</v>
      </c>
      <c r="M8" s="110" t="s">
        <v>100</v>
      </c>
    </row>
    <row r="9" spans="2:33" ht="15.95" customHeight="1" x14ac:dyDescent="0.2">
      <c r="B9" s="101" t="s">
        <v>74</v>
      </c>
      <c r="C9" s="109">
        <f>C7*SQRT(EXP(GAMMALN(1+2/C4))-(EXP(GAMMALN(1+1/C4)))^2)</f>
        <v>554321.56733597058</v>
      </c>
      <c r="D9" s="112" t="s">
        <v>78</v>
      </c>
      <c r="E9" s="4"/>
      <c r="F9" s="4"/>
      <c r="G9" s="63"/>
      <c r="H9" s="114" t="str">
        <f>IF(Daten!$B$4=1,CONCATENATE("in ",Daten!$C$4),CONCATENATE("in ",Daten!$B$4," ",Daten!$C$4))</f>
        <v>in Druckwechsel</v>
      </c>
      <c r="I9" s="64"/>
      <c r="J9" s="61"/>
      <c r="L9" s="120">
        <f>VAR(L18:L117)*(L8-1)</f>
        <v>15.057373849833699</v>
      </c>
      <c r="M9" s="110" t="s">
        <v>98</v>
      </c>
    </row>
    <row r="10" spans="2:33" ht="15.95" customHeight="1" x14ac:dyDescent="0.2">
      <c r="B10" s="101" t="s">
        <v>74</v>
      </c>
      <c r="C10" s="62">
        <f>$C$7*(-LN(0.5))^(1/$C$4)+$C$5</f>
        <v>509553.60260961915</v>
      </c>
      <c r="D10" s="112" t="s">
        <v>87</v>
      </c>
      <c r="E10" s="4"/>
      <c r="F10" s="4"/>
      <c r="G10" s="63"/>
      <c r="H10" s="114" t="str">
        <f>IF(Daten!$B$4=1,CONCATENATE("in ",Daten!$C$4),CONCATENATE("in ",Daten!$B$4," ",Daten!$C$4))</f>
        <v>in Druckwechsel</v>
      </c>
      <c r="I10" s="64"/>
      <c r="J10" s="61"/>
      <c r="L10" s="120">
        <f>SUM(N18:N117)</f>
        <v>34.438035249757029</v>
      </c>
      <c r="M10" s="110" t="s">
        <v>99</v>
      </c>
    </row>
    <row r="11" spans="2:33" ht="15.95" customHeight="1" thickBot="1" x14ac:dyDescent="0.25">
      <c r="B11" s="102" t="s">
        <v>74</v>
      </c>
      <c r="C11" s="122">
        <f>$C$7*(-LN(0.9))^(1/$C$4)+$C$5</f>
        <v>166577.60603710031</v>
      </c>
      <c r="D11" s="113" t="s">
        <v>86</v>
      </c>
      <c r="E11" s="65"/>
      <c r="F11" s="65"/>
      <c r="G11" s="66"/>
      <c r="H11" s="115" t="str">
        <f>IF(Daten!$B$4=1,CONCATENATE("in ",Daten!$C$4),CONCATENATE("in ",Daten!$B$4," ",Daten!$C$4))</f>
        <v>in Druckwechsel</v>
      </c>
      <c r="I11" s="67"/>
      <c r="J11" s="68"/>
      <c r="L11" s="120"/>
    </row>
    <row r="12" spans="2:33" ht="13.5" thickBot="1" x14ac:dyDescent="0.25">
      <c r="H12" s="4"/>
      <c r="L12" s="5" t="s">
        <v>0</v>
      </c>
    </row>
    <row r="13" spans="2:33" ht="63.75" x14ac:dyDescent="0.3">
      <c r="B13" s="92" t="s">
        <v>34</v>
      </c>
      <c r="C13" s="93" t="s">
        <v>35</v>
      </c>
      <c r="D13" s="93" t="s">
        <v>41</v>
      </c>
      <c r="E13" s="93" t="s">
        <v>36</v>
      </c>
      <c r="F13" s="98" t="s">
        <v>37</v>
      </c>
      <c r="G13" s="93" t="s">
        <v>1</v>
      </c>
      <c r="H13" s="98" t="s">
        <v>38</v>
      </c>
      <c r="I13" s="93" t="s">
        <v>39</v>
      </c>
      <c r="J13" s="94" t="s">
        <v>40</v>
      </c>
      <c r="K13" s="1"/>
      <c r="L13" s="1" t="s">
        <v>89</v>
      </c>
      <c r="M13" s="1" t="s">
        <v>90</v>
      </c>
      <c r="N13" s="1" t="s">
        <v>93</v>
      </c>
    </row>
    <row r="14" spans="2:33" ht="15.75" x14ac:dyDescent="0.3">
      <c r="B14" s="95" t="s">
        <v>33</v>
      </c>
      <c r="C14" s="96" t="s">
        <v>42</v>
      </c>
      <c r="D14" s="96" t="s">
        <v>73</v>
      </c>
      <c r="E14" s="96" t="s">
        <v>43</v>
      </c>
      <c r="F14" s="99"/>
      <c r="G14" s="96" t="s">
        <v>44</v>
      </c>
      <c r="H14" s="100" t="s">
        <v>47</v>
      </c>
      <c r="I14" s="96" t="s">
        <v>45</v>
      </c>
      <c r="J14" s="97" t="s">
        <v>46</v>
      </c>
      <c r="K14" s="1"/>
      <c r="L14" s="29" t="s">
        <v>92</v>
      </c>
      <c r="M14" s="1" t="s">
        <v>91</v>
      </c>
    </row>
    <row r="15" spans="2:33" ht="13.5" thickBot="1" x14ac:dyDescent="0.25">
      <c r="B15" s="47" t="s">
        <v>22</v>
      </c>
      <c r="C15" s="48" t="s">
        <v>23</v>
      </c>
      <c r="D15" s="48" t="s">
        <v>24</v>
      </c>
      <c r="E15" s="48" t="s">
        <v>25</v>
      </c>
      <c r="F15" s="50" t="s">
        <v>26</v>
      </c>
      <c r="G15" s="48" t="s">
        <v>27</v>
      </c>
      <c r="H15" s="50" t="s">
        <v>28</v>
      </c>
      <c r="I15" s="48" t="s">
        <v>29</v>
      </c>
      <c r="J15" s="49" t="s">
        <v>30</v>
      </c>
      <c r="L15" s="10"/>
    </row>
    <row r="16" spans="2:33" ht="14.25" x14ac:dyDescent="0.25">
      <c r="B16" s="42"/>
      <c r="C16" s="43"/>
      <c r="D16" s="59" t="s">
        <v>48</v>
      </c>
      <c r="E16" s="44"/>
      <c r="F16" s="51"/>
      <c r="G16" s="44" t="s">
        <v>2</v>
      </c>
      <c r="H16" s="55"/>
      <c r="I16" s="45"/>
      <c r="J16" s="46"/>
      <c r="M16" s="3"/>
    </row>
    <row r="17" spans="2:40" x14ac:dyDescent="0.2">
      <c r="B17" s="32">
        <v>0</v>
      </c>
      <c r="C17" s="104">
        <f>C18*0.99999</f>
        <v>117383.82615000001</v>
      </c>
      <c r="D17" s="91">
        <v>100000</v>
      </c>
      <c r="E17" s="58" t="s">
        <v>3</v>
      </c>
      <c r="F17" s="52" t="s">
        <v>3</v>
      </c>
      <c r="G17" s="103">
        <f>Daten!B6</f>
        <v>24</v>
      </c>
      <c r="H17" s="52" t="s">
        <v>3</v>
      </c>
      <c r="I17" s="33">
        <v>0</v>
      </c>
      <c r="J17" s="34">
        <v>0</v>
      </c>
    </row>
    <row r="18" spans="2:40" x14ac:dyDescent="0.2">
      <c r="B18" s="32">
        <f t="shared" ref="B18:B49" si="0">B17+1</f>
        <v>1</v>
      </c>
      <c r="C18" s="35">
        <f>IF(ISNUMBER(Daten!B16),Daten!D16,"")</f>
        <v>117385</v>
      </c>
      <c r="D18" s="60">
        <f>$C18-$D$17</f>
        <v>17385</v>
      </c>
      <c r="E18" s="35">
        <f>IF(ISNUMBER(Daten!D16),1,"")</f>
        <v>1</v>
      </c>
      <c r="F18" s="53">
        <f>IF(ISNUMBER(Daten!E16),Daten!E16,"")</f>
        <v>0</v>
      </c>
      <c r="G18" s="35">
        <f t="shared" ref="G18:G49" si="1">IF(ISNUMBER(C18),G17-E18-F18,"")</f>
        <v>23</v>
      </c>
      <c r="H18" s="56">
        <f t="shared" ref="H18:H49" si="2">IF(ISNUMBER(C18),(1+G$17-I17)/(1+G18+E18),"")</f>
        <v>1</v>
      </c>
      <c r="I18" s="36">
        <f t="shared" ref="I18:I49" si="3">IF(ISNUMBER(C18),I17+(E18*H18),"")</f>
        <v>1</v>
      </c>
      <c r="J18" s="37">
        <f>IF(ISNUMBER(C18),BETAINV(0.5,I18,$G$17-I18+1),"")</f>
        <v>2.8468058846394126E-2</v>
      </c>
      <c r="K18" s="9"/>
      <c r="L18" s="3">
        <f t="shared" ref="L18:L49" si="4">IF(ISNUMBER(C18),LN(LN(1/(1-J18))),"")</f>
        <v>-3.5445667509296084</v>
      </c>
      <c r="M18" s="3">
        <f>IF(ISNUMBER(D18),LN(D18)," ")</f>
        <v>9.7633630444419612</v>
      </c>
      <c r="N18">
        <f>IF(ISNUMBER(L18),L18^2,"")</f>
        <v>12.56395345179568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G18" s="7"/>
      <c r="AH18" s="7"/>
      <c r="AI18" s="7"/>
    </row>
    <row r="19" spans="2:40" x14ac:dyDescent="0.2">
      <c r="B19" s="32">
        <f t="shared" si="0"/>
        <v>2</v>
      </c>
      <c r="C19" s="35">
        <f>IF(ISNUMBER(Daten!B17),Daten!D17,"")</f>
        <v>155508</v>
      </c>
      <c r="D19" s="35">
        <f>C19-D$17</f>
        <v>55508</v>
      </c>
      <c r="E19" s="35">
        <f>IF(ISNUMBER(Daten!D17),1,"")</f>
        <v>1</v>
      </c>
      <c r="F19" s="53">
        <f>IF(ISNUMBER(Daten!E17),Daten!E17,"")</f>
        <v>0</v>
      </c>
      <c r="G19" s="35">
        <f t="shared" si="1"/>
        <v>22</v>
      </c>
      <c r="H19" s="56">
        <f t="shared" si="2"/>
        <v>1</v>
      </c>
      <c r="I19" s="36">
        <f t="shared" si="3"/>
        <v>2</v>
      </c>
      <c r="J19" s="37">
        <f t="shared" ref="J19:J82" si="5">IF(ISNUMBER(C19),BETAINV(0.5,I19,$G$17-I19+1),"")</f>
        <v>6.8951809946863771E-2</v>
      </c>
      <c r="K19" s="9"/>
      <c r="L19" s="3">
        <f t="shared" si="4"/>
        <v>-2.6388379735035676</v>
      </c>
      <c r="M19" s="3">
        <f t="shared" ref="M19:M50" si="6">IF(ISNUMBER(D19),LN(D19),"")</f>
        <v>10.924282433490902</v>
      </c>
      <c r="N19">
        <f t="shared" ref="N19:N82" si="7">IF(ISNUMBER(L19),L19^2,"")</f>
        <v>6.9634658504044156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G19" s="7"/>
      <c r="AH19" s="7"/>
      <c r="AI19" s="7"/>
      <c r="AJ19" s="3"/>
      <c r="AK19" s="3"/>
      <c r="AL19" s="8"/>
      <c r="AN19" s="8"/>
    </row>
    <row r="20" spans="2:40" x14ac:dyDescent="0.2">
      <c r="B20" s="32">
        <f t="shared" si="0"/>
        <v>3</v>
      </c>
      <c r="C20" s="35">
        <f>IF(ISNUMBER(Daten!B18),Daten!D18,"")</f>
        <v>174844</v>
      </c>
      <c r="D20" s="35">
        <f>C20-D$17</f>
        <v>74844</v>
      </c>
      <c r="E20" s="35">
        <f>IF(ISNUMBER(Daten!D18),1,"")</f>
        <v>1</v>
      </c>
      <c r="F20" s="53">
        <f>IF(ISNUMBER(Daten!E18),Daten!E18,"")</f>
        <v>0</v>
      </c>
      <c r="G20" s="35">
        <f t="shared" si="1"/>
        <v>21</v>
      </c>
      <c r="H20" s="56">
        <f t="shared" si="2"/>
        <v>1</v>
      </c>
      <c r="I20" s="36">
        <f t="shared" si="3"/>
        <v>3</v>
      </c>
      <c r="J20" s="37">
        <f t="shared" si="5"/>
        <v>0.10986837669515491</v>
      </c>
      <c r="K20" s="9"/>
      <c r="L20" s="3">
        <f t="shared" si="4"/>
        <v>-2.1508435771271244</v>
      </c>
      <c r="M20" s="3">
        <f t="shared" si="6"/>
        <v>11.223161226314122</v>
      </c>
      <c r="N20">
        <f t="shared" si="7"/>
        <v>4.6261280932690045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G20" s="7"/>
      <c r="AH20" s="7"/>
      <c r="AI20" s="7"/>
      <c r="AJ20" s="3"/>
      <c r="AK20" s="3"/>
      <c r="AL20" s="8"/>
      <c r="AN20" s="8"/>
    </row>
    <row r="21" spans="2:40" x14ac:dyDescent="0.2">
      <c r="B21" s="32">
        <f t="shared" si="0"/>
        <v>4</v>
      </c>
      <c r="C21" s="35">
        <f>IF(ISNUMBER(Daten!B19),Daten!D19,"")</f>
        <v>197734</v>
      </c>
      <c r="D21" s="35">
        <f t="shared" ref="D21:D52" si="8">IF(ISNUMBER(C21),C21-D$17,"")</f>
        <v>97734</v>
      </c>
      <c r="E21" s="35">
        <f>IF(ISNUMBER(Daten!D19),1,"")</f>
        <v>1</v>
      </c>
      <c r="F21" s="53">
        <f>IF(ISNUMBER(Daten!E19),Daten!E19,"")</f>
        <v>0</v>
      </c>
      <c r="G21" s="35">
        <f t="shared" si="1"/>
        <v>20</v>
      </c>
      <c r="H21" s="56">
        <f t="shared" si="2"/>
        <v>1</v>
      </c>
      <c r="I21" s="36">
        <f t="shared" si="3"/>
        <v>4</v>
      </c>
      <c r="J21" s="37">
        <f t="shared" si="5"/>
        <v>0.15087888076506151</v>
      </c>
      <c r="K21" s="9"/>
      <c r="L21" s="3">
        <f t="shared" si="4"/>
        <v>-1.8106154809403505</v>
      </c>
      <c r="M21" s="3">
        <f t="shared" si="6"/>
        <v>11.490004781585659</v>
      </c>
      <c r="N21">
        <f t="shared" si="7"/>
        <v>3.2783284198208569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G21" s="7"/>
      <c r="AH21" s="7"/>
      <c r="AI21" s="7"/>
      <c r="AJ21" s="3"/>
      <c r="AK21" s="3"/>
      <c r="AL21" s="8"/>
      <c r="AN21" s="8"/>
    </row>
    <row r="22" spans="2:40" x14ac:dyDescent="0.2">
      <c r="B22" s="32">
        <f t="shared" si="0"/>
        <v>5</v>
      </c>
      <c r="C22" s="35">
        <f>IF(ISNUMBER(Daten!B20),Daten!D20,"")</f>
        <v>239329</v>
      </c>
      <c r="D22" s="35">
        <f t="shared" si="8"/>
        <v>139329</v>
      </c>
      <c r="E22" s="35">
        <f>IF(ISNUMBER(Daten!D20),1,"")</f>
        <v>1</v>
      </c>
      <c r="F22" s="53">
        <f>IF(ISNUMBER(Daten!E20),Daten!E20,"")</f>
        <v>1</v>
      </c>
      <c r="G22" s="35">
        <f t="shared" si="1"/>
        <v>18</v>
      </c>
      <c r="H22" s="56">
        <f t="shared" si="2"/>
        <v>1.05</v>
      </c>
      <c r="I22" s="36">
        <f t="shared" si="3"/>
        <v>5.05</v>
      </c>
      <c r="J22" s="37">
        <f t="shared" si="5"/>
        <v>0.1939768364262211</v>
      </c>
      <c r="K22" s="9"/>
      <c r="L22" s="3">
        <f t="shared" si="4"/>
        <v>-1.5341319533243423</v>
      </c>
      <c r="M22" s="3">
        <f t="shared" si="6"/>
        <v>11.844593321876685</v>
      </c>
      <c r="N22">
        <f t="shared" si="7"/>
        <v>2.3535608502107617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G22" s="7"/>
      <c r="AH22" s="7"/>
      <c r="AI22" s="7"/>
      <c r="AJ22" s="3"/>
      <c r="AK22" s="3"/>
      <c r="AL22" s="8"/>
      <c r="AN22" s="8"/>
    </row>
    <row r="23" spans="2:40" x14ac:dyDescent="0.2">
      <c r="B23" s="32">
        <f t="shared" si="0"/>
        <v>6</v>
      </c>
      <c r="C23" s="35">
        <f>IF(ISNUMBER(Daten!B21),Daten!D21,"")</f>
        <v>248182</v>
      </c>
      <c r="D23" s="35">
        <f t="shared" si="8"/>
        <v>148182</v>
      </c>
      <c r="E23" s="35">
        <f>IF(ISNUMBER(Daten!D21),1,"")</f>
        <v>1</v>
      </c>
      <c r="F23" s="53">
        <f>IF(ISNUMBER(Daten!E21),Daten!E21,"")</f>
        <v>0</v>
      </c>
      <c r="G23" s="35">
        <f t="shared" si="1"/>
        <v>17</v>
      </c>
      <c r="H23" s="56">
        <f t="shared" si="2"/>
        <v>1.05</v>
      </c>
      <c r="I23" s="36">
        <f t="shared" si="3"/>
        <v>6.1</v>
      </c>
      <c r="J23" s="37">
        <f t="shared" si="5"/>
        <v>0.2370923688878184</v>
      </c>
      <c r="K23" s="9"/>
      <c r="L23" s="3">
        <f t="shared" si="4"/>
        <v>-1.3070458819905748</v>
      </c>
      <c r="M23" s="3">
        <f t="shared" si="6"/>
        <v>11.906196526977686</v>
      </c>
      <c r="N23">
        <f t="shared" si="7"/>
        <v>1.7083689376285196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G23" s="7"/>
      <c r="AH23" s="7"/>
      <c r="AI23" s="7"/>
      <c r="AJ23" s="3"/>
      <c r="AK23" s="3"/>
      <c r="AL23" s="8"/>
      <c r="AN23" s="8"/>
    </row>
    <row r="24" spans="2:40" x14ac:dyDescent="0.2">
      <c r="B24" s="32">
        <f t="shared" si="0"/>
        <v>7</v>
      </c>
      <c r="C24" s="35">
        <f>IF(ISNUMBER(Daten!B22),Daten!D22,"")</f>
        <v>282484</v>
      </c>
      <c r="D24" s="35">
        <f t="shared" si="8"/>
        <v>182484</v>
      </c>
      <c r="E24" s="35">
        <f>IF(ISNUMBER(Daten!D22),1,"")</f>
        <v>1</v>
      </c>
      <c r="F24" s="53">
        <f>IF(ISNUMBER(Daten!E22),Daten!E22,"")</f>
        <v>1</v>
      </c>
      <c r="G24" s="35">
        <f t="shared" si="1"/>
        <v>15</v>
      </c>
      <c r="H24" s="56">
        <f t="shared" si="2"/>
        <v>1.1117647058823528</v>
      </c>
      <c r="I24" s="36">
        <f t="shared" si="3"/>
        <v>7.2117647058823522</v>
      </c>
      <c r="J24" s="37">
        <f t="shared" si="5"/>
        <v>0.28275421137502449</v>
      </c>
      <c r="K24" s="9"/>
      <c r="L24" s="3">
        <f t="shared" si="4"/>
        <v>-1.101606680299362</v>
      </c>
      <c r="M24" s="3">
        <f t="shared" si="6"/>
        <v>12.114417776928459</v>
      </c>
      <c r="N24">
        <f t="shared" si="7"/>
        <v>1.2135372780801807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G24" s="7"/>
      <c r="AH24" s="7"/>
      <c r="AI24" s="7"/>
      <c r="AJ24" s="3"/>
      <c r="AK24" s="3"/>
      <c r="AL24" s="8"/>
      <c r="AN24" s="8"/>
    </row>
    <row r="25" spans="2:40" x14ac:dyDescent="0.2">
      <c r="B25" s="32">
        <f t="shared" si="0"/>
        <v>8</v>
      </c>
      <c r="C25" s="35">
        <f>IF(ISNUMBER(Daten!B23),Daten!D23,"")</f>
        <v>369450</v>
      </c>
      <c r="D25" s="35">
        <f t="shared" si="8"/>
        <v>269450</v>
      </c>
      <c r="E25" s="35">
        <f>IF(ISNUMBER(Daten!D23),1,"")</f>
        <v>1</v>
      </c>
      <c r="F25" s="53">
        <f>IF(ISNUMBER(Daten!E23),Daten!E23,"")</f>
        <v>1</v>
      </c>
      <c r="G25" s="35">
        <f t="shared" si="1"/>
        <v>13</v>
      </c>
      <c r="H25" s="56">
        <f t="shared" si="2"/>
        <v>1.1858823529411766</v>
      </c>
      <c r="I25" s="36">
        <f t="shared" si="3"/>
        <v>8.3976470588235284</v>
      </c>
      <c r="J25" s="37">
        <f t="shared" si="5"/>
        <v>0.33146667753538883</v>
      </c>
      <c r="K25" s="9"/>
      <c r="L25" s="3">
        <f t="shared" si="4"/>
        <v>-0.90964030242515115</v>
      </c>
      <c r="M25" s="3">
        <f t="shared" si="6"/>
        <v>12.504138123361642</v>
      </c>
      <c r="N25">
        <f t="shared" si="7"/>
        <v>0.82744547979612049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G25" s="7"/>
      <c r="AH25" s="7"/>
      <c r="AI25" s="7"/>
      <c r="AJ25" s="3"/>
      <c r="AK25" s="3"/>
      <c r="AL25" s="8"/>
      <c r="AN25" s="8"/>
    </row>
    <row r="26" spans="2:40" x14ac:dyDescent="0.2">
      <c r="B26" s="32">
        <f t="shared" si="0"/>
        <v>9</v>
      </c>
      <c r="C26" s="35">
        <f>IF(ISNUMBER(Daten!B24),Daten!D24,"")</f>
        <v>440488</v>
      </c>
      <c r="D26" s="35">
        <f t="shared" si="8"/>
        <v>340488</v>
      </c>
      <c r="E26" s="35">
        <f>IF(ISNUMBER(Daten!D24),1,"")</f>
        <v>1</v>
      </c>
      <c r="F26" s="53">
        <f>IF(ISNUMBER(Daten!E24),Daten!E24,"")</f>
        <v>6</v>
      </c>
      <c r="G26" s="35">
        <f t="shared" si="1"/>
        <v>6</v>
      </c>
      <c r="H26" s="56">
        <f t="shared" si="2"/>
        <v>2.0752941176470587</v>
      </c>
      <c r="I26" s="36">
        <f t="shared" si="3"/>
        <v>10.472941176470588</v>
      </c>
      <c r="J26" s="37">
        <f t="shared" si="5"/>
        <v>0.41672191853896201</v>
      </c>
      <c r="K26" s="9"/>
      <c r="L26" s="3">
        <f t="shared" si="4"/>
        <v>-0.61787047802593886</v>
      </c>
      <c r="M26" s="3">
        <f t="shared" si="6"/>
        <v>12.738135161659931</v>
      </c>
      <c r="N26">
        <f t="shared" si="7"/>
        <v>0.3817639276160022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G26" s="7"/>
      <c r="AH26" s="7"/>
      <c r="AI26" s="7"/>
      <c r="AJ26" s="3"/>
      <c r="AK26" s="3"/>
      <c r="AL26" s="8"/>
      <c r="AN26" s="8"/>
    </row>
    <row r="27" spans="2:40" x14ac:dyDescent="0.2">
      <c r="B27" s="32">
        <f t="shared" si="0"/>
        <v>10</v>
      </c>
      <c r="C27" s="35">
        <f>IF(ISNUMBER(Daten!B25),Daten!D25,"")</f>
        <v>453498</v>
      </c>
      <c r="D27" s="35">
        <f t="shared" si="8"/>
        <v>353498</v>
      </c>
      <c r="E27" s="35">
        <f>IF(ISNUMBER(Daten!D25),1,"")</f>
        <v>1</v>
      </c>
      <c r="F27" s="53">
        <f>IF(ISNUMBER(Daten!E25),Daten!E25,"")</f>
        <v>0</v>
      </c>
      <c r="G27" s="35">
        <f t="shared" si="1"/>
        <v>5</v>
      </c>
      <c r="H27" s="56">
        <f t="shared" si="2"/>
        <v>2.0752941176470587</v>
      </c>
      <c r="I27" s="36">
        <f t="shared" si="3"/>
        <v>12.548235294117646</v>
      </c>
      <c r="J27" s="37">
        <f t="shared" si="5"/>
        <v>0.50198167582151521</v>
      </c>
      <c r="K27" s="9"/>
      <c r="L27" s="3">
        <f t="shared" si="4"/>
        <v>-0.36080000159481967</v>
      </c>
      <c r="M27" s="3">
        <f t="shared" si="6"/>
        <v>12.775633106594132</v>
      </c>
      <c r="N27">
        <f t="shared" si="7"/>
        <v>0.13017664115082189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3"/>
      <c r="AK27" s="3"/>
      <c r="AL27" s="8"/>
      <c r="AN27" s="8"/>
    </row>
    <row r="28" spans="2:40" x14ac:dyDescent="0.2">
      <c r="B28" s="32">
        <f t="shared" si="0"/>
        <v>11</v>
      </c>
      <c r="C28" s="35">
        <f>IF(ISNUMBER(Daten!B26),Daten!D26,"")</f>
        <v>751568</v>
      </c>
      <c r="D28" s="35">
        <f t="shared" si="8"/>
        <v>651568</v>
      </c>
      <c r="E28" s="35">
        <f>IF(ISNUMBER(Daten!D26),1,"")</f>
        <v>1</v>
      </c>
      <c r="F28" s="53">
        <f>IF(ISNUMBER(Daten!E26),Daten!E26,"")</f>
        <v>3</v>
      </c>
      <c r="G28" s="35">
        <f t="shared" si="1"/>
        <v>1</v>
      </c>
      <c r="H28" s="56">
        <f t="shared" si="2"/>
        <v>4.1505882352941184</v>
      </c>
      <c r="I28" s="36">
        <f t="shared" si="3"/>
        <v>16.698823529411765</v>
      </c>
      <c r="J28" s="37">
        <f t="shared" si="5"/>
        <v>0.67249621794420822</v>
      </c>
      <c r="K28" s="9"/>
      <c r="L28" s="3">
        <f t="shared" si="4"/>
        <v>0.10997993781965529</v>
      </c>
      <c r="M28" s="3">
        <f t="shared" si="6"/>
        <v>13.387137044620733</v>
      </c>
      <c r="N28">
        <f t="shared" si="7"/>
        <v>1.2095586722815244E-2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G28" s="7"/>
      <c r="AH28" s="7"/>
      <c r="AI28" s="7"/>
      <c r="AJ28" s="3"/>
      <c r="AK28" s="3"/>
      <c r="AL28" s="8"/>
      <c r="AN28" s="8"/>
    </row>
    <row r="29" spans="2:40" x14ac:dyDescent="0.2">
      <c r="B29" s="32">
        <f t="shared" si="0"/>
        <v>12</v>
      </c>
      <c r="C29" s="35">
        <f>IF(ISNUMBER(Daten!B27),Daten!D27,"")</f>
        <v>1229900</v>
      </c>
      <c r="D29" s="35">
        <f t="shared" si="8"/>
        <v>1129900</v>
      </c>
      <c r="E29" s="35">
        <f>IF(ISNUMBER(Daten!D27),1,"")</f>
        <v>1</v>
      </c>
      <c r="F29" s="53">
        <f>IF(ISNUMBER(Daten!E27),Daten!E27,"")</f>
        <v>0</v>
      </c>
      <c r="G29" s="35">
        <f t="shared" si="1"/>
        <v>0</v>
      </c>
      <c r="H29" s="56">
        <f t="shared" si="2"/>
        <v>4.1505882352941175</v>
      </c>
      <c r="I29" s="36">
        <f t="shared" si="3"/>
        <v>20.849411764705884</v>
      </c>
      <c r="J29" s="37">
        <f t="shared" si="5"/>
        <v>0.84294175577335795</v>
      </c>
      <c r="K29" s="9"/>
      <c r="L29" s="3">
        <f t="shared" si="4"/>
        <v>0.61580088767544028</v>
      </c>
      <c r="M29" s="3">
        <f t="shared" si="6"/>
        <v>13.937639691197338</v>
      </c>
      <c r="N29">
        <f t="shared" si="7"/>
        <v>0.37921073326186022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G29" s="7"/>
      <c r="AH29" s="7"/>
      <c r="AI29" s="7"/>
      <c r="AJ29" s="3"/>
      <c r="AK29" s="3"/>
      <c r="AL29" s="8"/>
      <c r="AN29" s="8"/>
    </row>
    <row r="30" spans="2:40" x14ac:dyDescent="0.2">
      <c r="B30" s="32">
        <f t="shared" si="0"/>
        <v>13</v>
      </c>
      <c r="C30" s="35" t="str">
        <f>IF(ISNUMBER(Daten!B28),Daten!D28,"")</f>
        <v/>
      </c>
      <c r="D30" s="35" t="str">
        <f t="shared" si="8"/>
        <v/>
      </c>
      <c r="E30" s="35" t="str">
        <f>IF(ISNUMBER(Daten!D28),1,"")</f>
        <v/>
      </c>
      <c r="F30" s="53" t="str">
        <f>IF(ISNUMBER(Daten!E28),Daten!E28,"")</f>
        <v/>
      </c>
      <c r="G30" s="35" t="str">
        <f t="shared" si="1"/>
        <v/>
      </c>
      <c r="H30" s="56" t="str">
        <f t="shared" si="2"/>
        <v/>
      </c>
      <c r="I30" s="36" t="str">
        <f t="shared" si="3"/>
        <v/>
      </c>
      <c r="J30" s="37" t="str">
        <f t="shared" si="5"/>
        <v/>
      </c>
      <c r="K30" s="9"/>
      <c r="L30" s="3" t="str">
        <f t="shared" si="4"/>
        <v/>
      </c>
      <c r="M30" s="3" t="str">
        <f t="shared" si="6"/>
        <v/>
      </c>
      <c r="N30" t="str">
        <f t="shared" si="7"/>
        <v/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G30" s="7"/>
      <c r="AH30" s="7"/>
      <c r="AI30" s="7"/>
      <c r="AJ30" s="3"/>
      <c r="AK30" s="3"/>
      <c r="AL30" s="8"/>
      <c r="AN30" s="8"/>
    </row>
    <row r="31" spans="2:40" x14ac:dyDescent="0.2">
      <c r="B31" s="32">
        <f t="shared" si="0"/>
        <v>14</v>
      </c>
      <c r="C31" s="35" t="str">
        <f>IF(ISNUMBER(Daten!B29),Daten!D29,"")</f>
        <v/>
      </c>
      <c r="D31" s="35" t="str">
        <f t="shared" si="8"/>
        <v/>
      </c>
      <c r="E31" s="35" t="str">
        <f>IF(ISNUMBER(Daten!D29),1,"")</f>
        <v/>
      </c>
      <c r="F31" s="53" t="str">
        <f>IF(ISNUMBER(Daten!E29),Daten!E29,"")</f>
        <v/>
      </c>
      <c r="G31" s="35" t="str">
        <f t="shared" si="1"/>
        <v/>
      </c>
      <c r="H31" s="56" t="str">
        <f t="shared" si="2"/>
        <v/>
      </c>
      <c r="I31" s="36" t="str">
        <f t="shared" si="3"/>
        <v/>
      </c>
      <c r="J31" s="37" t="str">
        <f t="shared" si="5"/>
        <v/>
      </c>
      <c r="K31" s="9"/>
      <c r="L31" s="3" t="str">
        <f t="shared" si="4"/>
        <v/>
      </c>
      <c r="M31" s="3" t="str">
        <f t="shared" si="6"/>
        <v/>
      </c>
      <c r="N31" t="str">
        <f t="shared" si="7"/>
        <v/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G31" s="7"/>
      <c r="AH31" s="7"/>
      <c r="AI31" s="7"/>
      <c r="AJ31" s="3"/>
      <c r="AK31" s="3"/>
      <c r="AL31" s="8"/>
      <c r="AN31" s="8"/>
    </row>
    <row r="32" spans="2:40" x14ac:dyDescent="0.2">
      <c r="B32" s="32">
        <f t="shared" si="0"/>
        <v>15</v>
      </c>
      <c r="C32" s="35" t="str">
        <f>IF(ISNUMBER(Daten!B30),Daten!D30,"")</f>
        <v/>
      </c>
      <c r="D32" s="35" t="str">
        <f t="shared" si="8"/>
        <v/>
      </c>
      <c r="E32" s="35" t="str">
        <f>IF(ISNUMBER(Daten!D30),1,"")</f>
        <v/>
      </c>
      <c r="F32" s="53" t="str">
        <f>IF(ISNUMBER(Daten!E30),Daten!E30,"")</f>
        <v/>
      </c>
      <c r="G32" s="35" t="str">
        <f t="shared" si="1"/>
        <v/>
      </c>
      <c r="H32" s="56" t="str">
        <f t="shared" si="2"/>
        <v/>
      </c>
      <c r="I32" s="36" t="str">
        <f t="shared" si="3"/>
        <v/>
      </c>
      <c r="J32" s="37" t="str">
        <f t="shared" si="5"/>
        <v/>
      </c>
      <c r="K32" s="9"/>
      <c r="L32" s="3" t="str">
        <f t="shared" si="4"/>
        <v/>
      </c>
      <c r="M32" s="3" t="str">
        <f t="shared" si="6"/>
        <v/>
      </c>
      <c r="N32" t="str">
        <f t="shared" si="7"/>
        <v/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G32" s="7"/>
      <c r="AH32" s="7"/>
      <c r="AI32" s="7"/>
      <c r="AJ32" s="3"/>
      <c r="AK32" s="3"/>
      <c r="AL32" s="8"/>
      <c r="AN32" s="8"/>
    </row>
    <row r="33" spans="2:40" x14ac:dyDescent="0.2">
      <c r="B33" s="32">
        <f t="shared" si="0"/>
        <v>16</v>
      </c>
      <c r="C33" s="35" t="str">
        <f>IF(ISNUMBER(Daten!B31),Daten!D31,"")</f>
        <v/>
      </c>
      <c r="D33" s="35" t="str">
        <f t="shared" si="8"/>
        <v/>
      </c>
      <c r="E33" s="35" t="str">
        <f>IF(ISNUMBER(Daten!D31),1,"")</f>
        <v/>
      </c>
      <c r="F33" s="53" t="str">
        <f>IF(ISNUMBER(Daten!E31),Daten!E31,"")</f>
        <v/>
      </c>
      <c r="G33" s="35" t="str">
        <f t="shared" si="1"/>
        <v/>
      </c>
      <c r="H33" s="56" t="str">
        <f t="shared" si="2"/>
        <v/>
      </c>
      <c r="I33" s="36" t="str">
        <f t="shared" si="3"/>
        <v/>
      </c>
      <c r="J33" s="37" t="str">
        <f t="shared" si="5"/>
        <v/>
      </c>
      <c r="K33" s="9"/>
      <c r="L33" s="3" t="str">
        <f t="shared" si="4"/>
        <v/>
      </c>
      <c r="M33" s="3" t="str">
        <f t="shared" si="6"/>
        <v/>
      </c>
      <c r="N33" t="str">
        <f t="shared" si="7"/>
        <v/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G33" s="7"/>
      <c r="AH33" s="7"/>
      <c r="AI33" s="7"/>
      <c r="AJ33" s="3"/>
      <c r="AK33" s="3"/>
      <c r="AL33" s="8"/>
      <c r="AN33" s="8"/>
    </row>
    <row r="34" spans="2:40" x14ac:dyDescent="0.2">
      <c r="B34" s="32">
        <f t="shared" si="0"/>
        <v>17</v>
      </c>
      <c r="C34" s="35" t="str">
        <f>IF(ISNUMBER(Daten!B32),Daten!D32,"")</f>
        <v/>
      </c>
      <c r="D34" s="35" t="str">
        <f t="shared" si="8"/>
        <v/>
      </c>
      <c r="E34" s="35" t="str">
        <f>IF(ISNUMBER(Daten!D32),1,"")</f>
        <v/>
      </c>
      <c r="F34" s="53" t="str">
        <f>IF(ISNUMBER(Daten!E32),Daten!E32,"")</f>
        <v/>
      </c>
      <c r="G34" s="35" t="str">
        <f t="shared" si="1"/>
        <v/>
      </c>
      <c r="H34" s="56" t="str">
        <f t="shared" si="2"/>
        <v/>
      </c>
      <c r="I34" s="36" t="str">
        <f t="shared" si="3"/>
        <v/>
      </c>
      <c r="J34" s="37" t="str">
        <f t="shared" si="5"/>
        <v/>
      </c>
      <c r="K34" s="9"/>
      <c r="L34" s="3" t="str">
        <f t="shared" si="4"/>
        <v/>
      </c>
      <c r="M34" s="3" t="str">
        <f t="shared" si="6"/>
        <v/>
      </c>
      <c r="N34" t="str">
        <f t="shared" si="7"/>
        <v/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G34" s="7"/>
      <c r="AH34" s="7"/>
      <c r="AI34" s="7"/>
      <c r="AJ34" s="3"/>
      <c r="AK34" s="3"/>
      <c r="AL34" s="8"/>
      <c r="AN34" s="8"/>
    </row>
    <row r="35" spans="2:40" x14ac:dyDescent="0.2">
      <c r="B35" s="32">
        <f t="shared" si="0"/>
        <v>18</v>
      </c>
      <c r="C35" s="35" t="str">
        <f>IF(ISNUMBER(Daten!B33),Daten!D33,"")</f>
        <v/>
      </c>
      <c r="D35" s="35" t="str">
        <f t="shared" si="8"/>
        <v/>
      </c>
      <c r="E35" s="35" t="str">
        <f>IF(ISNUMBER(Daten!D33),1,"")</f>
        <v/>
      </c>
      <c r="F35" s="53" t="str">
        <f>IF(ISNUMBER(Daten!E33),Daten!E33,"")</f>
        <v/>
      </c>
      <c r="G35" s="35" t="str">
        <f t="shared" si="1"/>
        <v/>
      </c>
      <c r="H35" s="56" t="str">
        <f t="shared" si="2"/>
        <v/>
      </c>
      <c r="I35" s="36" t="str">
        <f t="shared" si="3"/>
        <v/>
      </c>
      <c r="J35" s="37" t="str">
        <f t="shared" si="5"/>
        <v/>
      </c>
      <c r="K35" s="9"/>
      <c r="L35" s="3" t="str">
        <f t="shared" si="4"/>
        <v/>
      </c>
      <c r="M35" s="3" t="str">
        <f t="shared" si="6"/>
        <v/>
      </c>
      <c r="N35" t="str">
        <f t="shared" si="7"/>
        <v/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G35" s="7"/>
      <c r="AH35" s="7"/>
      <c r="AI35" s="7"/>
      <c r="AJ35" s="3"/>
      <c r="AK35" s="3"/>
      <c r="AL35" s="8"/>
      <c r="AN35" s="8"/>
    </row>
    <row r="36" spans="2:40" x14ac:dyDescent="0.2">
      <c r="B36" s="32">
        <f t="shared" si="0"/>
        <v>19</v>
      </c>
      <c r="C36" s="35" t="str">
        <f>IF(ISNUMBER(Daten!B34),Daten!D34,"")</f>
        <v/>
      </c>
      <c r="D36" s="35" t="str">
        <f t="shared" si="8"/>
        <v/>
      </c>
      <c r="E36" s="35" t="str">
        <f>IF(ISNUMBER(Daten!D34),1,"")</f>
        <v/>
      </c>
      <c r="F36" s="53" t="str">
        <f>IF(ISNUMBER(Daten!E34),Daten!E34,"")</f>
        <v/>
      </c>
      <c r="G36" s="35" t="str">
        <f t="shared" si="1"/>
        <v/>
      </c>
      <c r="H36" s="56" t="str">
        <f t="shared" si="2"/>
        <v/>
      </c>
      <c r="I36" s="36" t="str">
        <f t="shared" si="3"/>
        <v/>
      </c>
      <c r="J36" s="37" t="str">
        <f t="shared" si="5"/>
        <v/>
      </c>
      <c r="K36" s="9"/>
      <c r="L36" s="3" t="str">
        <f t="shared" si="4"/>
        <v/>
      </c>
      <c r="M36" s="3" t="str">
        <f t="shared" si="6"/>
        <v/>
      </c>
      <c r="N36" t="str">
        <f t="shared" si="7"/>
        <v/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G36" s="7"/>
      <c r="AH36" s="7"/>
      <c r="AI36" s="7"/>
      <c r="AJ36" s="3"/>
      <c r="AK36" s="3"/>
      <c r="AL36" s="8"/>
      <c r="AN36" s="8"/>
    </row>
    <row r="37" spans="2:40" x14ac:dyDescent="0.2">
      <c r="B37" s="32">
        <f t="shared" si="0"/>
        <v>20</v>
      </c>
      <c r="C37" s="35" t="str">
        <f>IF(ISNUMBER(Daten!B35),Daten!D35,"")</f>
        <v/>
      </c>
      <c r="D37" s="35" t="str">
        <f t="shared" si="8"/>
        <v/>
      </c>
      <c r="E37" s="35" t="str">
        <f>IF(ISNUMBER(Daten!D35),1,"")</f>
        <v/>
      </c>
      <c r="F37" s="53" t="str">
        <f>IF(ISNUMBER(Daten!E35),Daten!E35,"")</f>
        <v/>
      </c>
      <c r="G37" s="35" t="str">
        <f t="shared" si="1"/>
        <v/>
      </c>
      <c r="H37" s="56" t="str">
        <f t="shared" si="2"/>
        <v/>
      </c>
      <c r="I37" s="36" t="str">
        <f t="shared" si="3"/>
        <v/>
      </c>
      <c r="J37" s="37" t="str">
        <f t="shared" si="5"/>
        <v/>
      </c>
      <c r="K37" s="9"/>
      <c r="L37" s="3" t="str">
        <f t="shared" si="4"/>
        <v/>
      </c>
      <c r="M37" s="3" t="str">
        <f t="shared" si="6"/>
        <v/>
      </c>
      <c r="N37" t="str">
        <f t="shared" si="7"/>
        <v/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G37" s="7"/>
      <c r="AH37" s="7"/>
      <c r="AI37" s="7"/>
      <c r="AJ37" s="3"/>
      <c r="AK37" s="3"/>
      <c r="AL37" s="8"/>
      <c r="AN37" s="8"/>
    </row>
    <row r="38" spans="2:40" x14ac:dyDescent="0.2">
      <c r="B38" s="32">
        <f t="shared" si="0"/>
        <v>21</v>
      </c>
      <c r="C38" s="35" t="str">
        <f>IF(ISNUMBER(Daten!B36),Daten!D36,"")</f>
        <v/>
      </c>
      <c r="D38" s="35" t="str">
        <f t="shared" si="8"/>
        <v/>
      </c>
      <c r="E38" s="35" t="str">
        <f>IF(ISNUMBER(Daten!D36),1,"")</f>
        <v/>
      </c>
      <c r="F38" s="53" t="str">
        <f>IF(ISNUMBER(Daten!E36),Daten!E36,"")</f>
        <v/>
      </c>
      <c r="G38" s="35" t="str">
        <f t="shared" si="1"/>
        <v/>
      </c>
      <c r="H38" s="56" t="str">
        <f t="shared" si="2"/>
        <v/>
      </c>
      <c r="I38" s="36" t="str">
        <f t="shared" si="3"/>
        <v/>
      </c>
      <c r="J38" s="37" t="str">
        <f t="shared" si="5"/>
        <v/>
      </c>
      <c r="K38" s="9"/>
      <c r="L38" s="3" t="str">
        <f t="shared" si="4"/>
        <v/>
      </c>
      <c r="M38" s="3" t="str">
        <f t="shared" si="6"/>
        <v/>
      </c>
      <c r="N38" t="str">
        <f t="shared" si="7"/>
        <v/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G38" s="7"/>
      <c r="AH38" s="7"/>
      <c r="AI38" s="7"/>
      <c r="AJ38" s="3"/>
      <c r="AK38" s="3"/>
      <c r="AL38" s="8"/>
      <c r="AN38" s="8"/>
    </row>
    <row r="39" spans="2:40" x14ac:dyDescent="0.2">
      <c r="B39" s="32">
        <f t="shared" si="0"/>
        <v>22</v>
      </c>
      <c r="C39" s="35" t="str">
        <f>IF(ISNUMBER(Daten!B37),Daten!D37,"")</f>
        <v/>
      </c>
      <c r="D39" s="35" t="str">
        <f t="shared" si="8"/>
        <v/>
      </c>
      <c r="E39" s="35" t="str">
        <f>IF(ISNUMBER(Daten!D37),1,"")</f>
        <v/>
      </c>
      <c r="F39" s="53" t="str">
        <f>IF(ISNUMBER(Daten!E37),Daten!E37,"")</f>
        <v/>
      </c>
      <c r="G39" s="35" t="str">
        <f t="shared" si="1"/>
        <v/>
      </c>
      <c r="H39" s="56" t="str">
        <f t="shared" si="2"/>
        <v/>
      </c>
      <c r="I39" s="36" t="str">
        <f t="shared" si="3"/>
        <v/>
      </c>
      <c r="J39" s="37" t="str">
        <f t="shared" si="5"/>
        <v/>
      </c>
      <c r="K39" s="9"/>
      <c r="L39" s="3" t="str">
        <f t="shared" si="4"/>
        <v/>
      </c>
      <c r="M39" s="3" t="str">
        <f t="shared" si="6"/>
        <v/>
      </c>
      <c r="N39" t="str">
        <f t="shared" si="7"/>
        <v/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G39" s="7"/>
      <c r="AH39" s="7"/>
      <c r="AI39" s="7"/>
      <c r="AJ39" s="3"/>
      <c r="AK39" s="3"/>
      <c r="AL39" s="8"/>
      <c r="AN39" s="8"/>
    </row>
    <row r="40" spans="2:40" x14ac:dyDescent="0.2">
      <c r="B40" s="32">
        <f t="shared" si="0"/>
        <v>23</v>
      </c>
      <c r="C40" s="35" t="str">
        <f>IF(ISNUMBER(Daten!B38),Daten!D38,"")</f>
        <v/>
      </c>
      <c r="D40" s="35" t="str">
        <f t="shared" si="8"/>
        <v/>
      </c>
      <c r="E40" s="35" t="str">
        <f>IF(ISNUMBER(Daten!D38),1,"")</f>
        <v/>
      </c>
      <c r="F40" s="53" t="str">
        <f>IF(ISNUMBER(Daten!E38),Daten!E38,"")</f>
        <v/>
      </c>
      <c r="G40" s="35" t="str">
        <f t="shared" si="1"/>
        <v/>
      </c>
      <c r="H40" s="56" t="str">
        <f t="shared" si="2"/>
        <v/>
      </c>
      <c r="I40" s="36" t="str">
        <f t="shared" si="3"/>
        <v/>
      </c>
      <c r="J40" s="37" t="str">
        <f t="shared" si="5"/>
        <v/>
      </c>
      <c r="K40" s="9"/>
      <c r="L40" s="3" t="str">
        <f t="shared" si="4"/>
        <v/>
      </c>
      <c r="M40" s="3" t="str">
        <f t="shared" si="6"/>
        <v/>
      </c>
      <c r="N40" t="str">
        <f t="shared" si="7"/>
        <v/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G40" s="7"/>
      <c r="AH40" s="7"/>
      <c r="AI40" s="7"/>
      <c r="AJ40" s="3"/>
      <c r="AK40" s="3"/>
      <c r="AL40" s="8"/>
      <c r="AN40" s="8"/>
    </row>
    <row r="41" spans="2:40" x14ac:dyDescent="0.2">
      <c r="B41" s="32">
        <f t="shared" si="0"/>
        <v>24</v>
      </c>
      <c r="C41" s="35" t="str">
        <f>IF(ISNUMBER(Daten!B39),Daten!D39,"")</f>
        <v/>
      </c>
      <c r="D41" s="35" t="str">
        <f t="shared" si="8"/>
        <v/>
      </c>
      <c r="E41" s="35" t="str">
        <f>IF(ISNUMBER(Daten!D39),1,"")</f>
        <v/>
      </c>
      <c r="F41" s="53" t="str">
        <f>IF(ISNUMBER(Daten!E39),Daten!E39,"")</f>
        <v/>
      </c>
      <c r="G41" s="35" t="str">
        <f t="shared" si="1"/>
        <v/>
      </c>
      <c r="H41" s="56" t="str">
        <f t="shared" si="2"/>
        <v/>
      </c>
      <c r="I41" s="36" t="str">
        <f t="shared" si="3"/>
        <v/>
      </c>
      <c r="J41" s="37" t="str">
        <f t="shared" si="5"/>
        <v/>
      </c>
      <c r="K41" s="9"/>
      <c r="L41" s="3" t="str">
        <f t="shared" si="4"/>
        <v/>
      </c>
      <c r="M41" s="3" t="str">
        <f t="shared" si="6"/>
        <v/>
      </c>
      <c r="N41" t="str">
        <f t="shared" si="7"/>
        <v/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G41" s="7"/>
      <c r="AH41" s="7"/>
      <c r="AI41" s="7"/>
      <c r="AJ41" s="3"/>
      <c r="AK41" s="3"/>
      <c r="AL41" s="8"/>
      <c r="AN41" s="8"/>
    </row>
    <row r="42" spans="2:40" x14ac:dyDescent="0.2">
      <c r="B42" s="32">
        <f t="shared" si="0"/>
        <v>25</v>
      </c>
      <c r="C42" s="35" t="str">
        <f>IF(ISNUMBER(Daten!B40),Daten!D40,"")</f>
        <v/>
      </c>
      <c r="D42" s="35" t="str">
        <f t="shared" si="8"/>
        <v/>
      </c>
      <c r="E42" s="35" t="str">
        <f>IF(ISNUMBER(Daten!D40),1,"")</f>
        <v/>
      </c>
      <c r="F42" s="53" t="str">
        <f>IF(ISNUMBER(Daten!E40),Daten!E40,"")</f>
        <v/>
      </c>
      <c r="G42" s="35" t="str">
        <f t="shared" si="1"/>
        <v/>
      </c>
      <c r="H42" s="56" t="str">
        <f t="shared" si="2"/>
        <v/>
      </c>
      <c r="I42" s="36" t="str">
        <f t="shared" si="3"/>
        <v/>
      </c>
      <c r="J42" s="37" t="str">
        <f t="shared" si="5"/>
        <v/>
      </c>
      <c r="K42" s="9"/>
      <c r="L42" s="3" t="str">
        <f t="shared" si="4"/>
        <v/>
      </c>
      <c r="M42" s="3" t="str">
        <f t="shared" si="6"/>
        <v/>
      </c>
      <c r="N42" t="str">
        <f t="shared" si="7"/>
        <v/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G42" s="7"/>
      <c r="AH42" s="7"/>
      <c r="AI42" s="7"/>
      <c r="AJ42" s="3"/>
      <c r="AK42" s="3"/>
      <c r="AL42" s="8"/>
      <c r="AN42" s="8"/>
    </row>
    <row r="43" spans="2:40" x14ac:dyDescent="0.2">
      <c r="B43" s="32">
        <f t="shared" si="0"/>
        <v>26</v>
      </c>
      <c r="C43" s="35" t="str">
        <f>IF(ISNUMBER(Daten!B41),Daten!D41,"")</f>
        <v/>
      </c>
      <c r="D43" s="35" t="str">
        <f t="shared" si="8"/>
        <v/>
      </c>
      <c r="E43" s="35" t="str">
        <f>IF(ISNUMBER(Daten!D41),1,"")</f>
        <v/>
      </c>
      <c r="F43" s="53" t="str">
        <f>IF(ISNUMBER(Daten!E41),Daten!E41,"")</f>
        <v/>
      </c>
      <c r="G43" s="35" t="str">
        <f t="shared" si="1"/>
        <v/>
      </c>
      <c r="H43" s="56" t="str">
        <f t="shared" si="2"/>
        <v/>
      </c>
      <c r="I43" s="36" t="str">
        <f t="shared" si="3"/>
        <v/>
      </c>
      <c r="J43" s="37" t="str">
        <f t="shared" si="5"/>
        <v/>
      </c>
      <c r="K43" s="9"/>
      <c r="L43" s="3" t="str">
        <f t="shared" si="4"/>
        <v/>
      </c>
      <c r="M43" s="3" t="str">
        <f t="shared" si="6"/>
        <v/>
      </c>
      <c r="N43" t="str">
        <f t="shared" si="7"/>
        <v/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G43" s="7"/>
      <c r="AH43" s="7"/>
      <c r="AI43" s="7"/>
      <c r="AJ43" s="3"/>
      <c r="AK43" s="3"/>
      <c r="AL43" s="8"/>
      <c r="AN43" s="8"/>
    </row>
    <row r="44" spans="2:40" x14ac:dyDescent="0.2">
      <c r="B44" s="32">
        <f t="shared" si="0"/>
        <v>27</v>
      </c>
      <c r="C44" s="35" t="str">
        <f>IF(ISNUMBER(Daten!B42),Daten!D42,"")</f>
        <v/>
      </c>
      <c r="D44" s="35" t="str">
        <f t="shared" si="8"/>
        <v/>
      </c>
      <c r="E44" s="35" t="str">
        <f>IF(ISNUMBER(Daten!D42),1,"")</f>
        <v/>
      </c>
      <c r="F44" s="53" t="str">
        <f>IF(ISNUMBER(Daten!E42),Daten!E42,"")</f>
        <v/>
      </c>
      <c r="G44" s="35" t="str">
        <f t="shared" si="1"/>
        <v/>
      </c>
      <c r="H44" s="56" t="str">
        <f t="shared" si="2"/>
        <v/>
      </c>
      <c r="I44" s="36" t="str">
        <f t="shared" si="3"/>
        <v/>
      </c>
      <c r="J44" s="37" t="str">
        <f t="shared" si="5"/>
        <v/>
      </c>
      <c r="K44" s="9"/>
      <c r="L44" s="3" t="str">
        <f t="shared" si="4"/>
        <v/>
      </c>
      <c r="M44" s="3" t="str">
        <f t="shared" si="6"/>
        <v/>
      </c>
      <c r="N44" t="str">
        <f t="shared" si="7"/>
        <v/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G44" s="7"/>
      <c r="AH44" s="7"/>
      <c r="AI44" s="7"/>
      <c r="AJ44" s="3"/>
      <c r="AK44" s="3"/>
      <c r="AL44" s="8"/>
      <c r="AN44" s="8"/>
    </row>
    <row r="45" spans="2:40" x14ac:dyDescent="0.2">
      <c r="B45" s="32">
        <f t="shared" si="0"/>
        <v>28</v>
      </c>
      <c r="C45" s="35" t="str">
        <f>IF(ISNUMBER(Daten!B43),Daten!D43,"")</f>
        <v/>
      </c>
      <c r="D45" s="35" t="str">
        <f t="shared" si="8"/>
        <v/>
      </c>
      <c r="E45" s="35" t="str">
        <f>IF(ISNUMBER(Daten!D43),1,"")</f>
        <v/>
      </c>
      <c r="F45" s="53" t="str">
        <f>IF(ISNUMBER(Daten!E43),Daten!E43,"")</f>
        <v/>
      </c>
      <c r="G45" s="35" t="str">
        <f t="shared" si="1"/>
        <v/>
      </c>
      <c r="H45" s="56" t="str">
        <f t="shared" si="2"/>
        <v/>
      </c>
      <c r="I45" s="36" t="str">
        <f t="shared" si="3"/>
        <v/>
      </c>
      <c r="J45" s="37" t="str">
        <f t="shared" si="5"/>
        <v/>
      </c>
      <c r="K45" s="9"/>
      <c r="L45" s="3" t="str">
        <f t="shared" si="4"/>
        <v/>
      </c>
      <c r="M45" s="3" t="str">
        <f t="shared" si="6"/>
        <v/>
      </c>
      <c r="N45" t="str">
        <f t="shared" si="7"/>
        <v/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G45" s="7"/>
      <c r="AH45" s="7"/>
      <c r="AI45" s="7"/>
      <c r="AJ45" s="3"/>
      <c r="AK45" s="3"/>
      <c r="AL45" s="8"/>
      <c r="AN45" s="8"/>
    </row>
    <row r="46" spans="2:40" x14ac:dyDescent="0.2">
      <c r="B46" s="32">
        <f t="shared" si="0"/>
        <v>29</v>
      </c>
      <c r="C46" s="35" t="str">
        <f>IF(ISNUMBER(Daten!B44),Daten!D44,"")</f>
        <v/>
      </c>
      <c r="D46" s="35" t="str">
        <f t="shared" si="8"/>
        <v/>
      </c>
      <c r="E46" s="35" t="str">
        <f>IF(ISNUMBER(Daten!D44),1,"")</f>
        <v/>
      </c>
      <c r="F46" s="53" t="str">
        <f>IF(ISNUMBER(Daten!E44),Daten!E44,"")</f>
        <v/>
      </c>
      <c r="G46" s="35" t="str">
        <f t="shared" si="1"/>
        <v/>
      </c>
      <c r="H46" s="56" t="str">
        <f t="shared" si="2"/>
        <v/>
      </c>
      <c r="I46" s="36" t="str">
        <f t="shared" si="3"/>
        <v/>
      </c>
      <c r="J46" s="37" t="str">
        <f t="shared" si="5"/>
        <v/>
      </c>
      <c r="K46" s="9"/>
      <c r="L46" s="3" t="str">
        <f t="shared" si="4"/>
        <v/>
      </c>
      <c r="M46" s="3" t="str">
        <f t="shared" si="6"/>
        <v/>
      </c>
      <c r="N46" t="str">
        <f t="shared" si="7"/>
        <v/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G46" s="7"/>
      <c r="AH46" s="7"/>
      <c r="AI46" s="7"/>
      <c r="AJ46" s="3"/>
      <c r="AK46" s="3"/>
      <c r="AL46" s="8"/>
      <c r="AN46" s="8"/>
    </row>
    <row r="47" spans="2:40" x14ac:dyDescent="0.2">
      <c r="B47" s="32">
        <f t="shared" si="0"/>
        <v>30</v>
      </c>
      <c r="C47" s="35" t="str">
        <f>IF(ISNUMBER(Daten!B45),Daten!D45,"")</f>
        <v/>
      </c>
      <c r="D47" s="35" t="str">
        <f t="shared" si="8"/>
        <v/>
      </c>
      <c r="E47" s="35" t="str">
        <f>IF(ISNUMBER(Daten!D45),1,"")</f>
        <v/>
      </c>
      <c r="F47" s="53" t="str">
        <f>IF(ISNUMBER(Daten!E45),Daten!E45,"")</f>
        <v/>
      </c>
      <c r="G47" s="35" t="str">
        <f t="shared" si="1"/>
        <v/>
      </c>
      <c r="H47" s="56" t="str">
        <f t="shared" si="2"/>
        <v/>
      </c>
      <c r="I47" s="36" t="str">
        <f t="shared" si="3"/>
        <v/>
      </c>
      <c r="J47" s="37" t="str">
        <f t="shared" si="5"/>
        <v/>
      </c>
      <c r="K47" s="9"/>
      <c r="L47" s="3" t="str">
        <f t="shared" si="4"/>
        <v/>
      </c>
      <c r="M47" s="3" t="str">
        <f t="shared" si="6"/>
        <v/>
      </c>
      <c r="N47" t="str">
        <f t="shared" si="7"/>
        <v/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G47" s="7"/>
      <c r="AH47" s="7"/>
      <c r="AI47" s="7"/>
      <c r="AJ47" s="3"/>
      <c r="AK47" s="3"/>
      <c r="AL47" s="8"/>
      <c r="AN47" s="8"/>
    </row>
    <row r="48" spans="2:40" x14ac:dyDescent="0.2">
      <c r="B48" s="32">
        <f t="shared" si="0"/>
        <v>31</v>
      </c>
      <c r="C48" s="35" t="str">
        <f>IF(ISNUMBER(Daten!B46),Daten!D46,"")</f>
        <v/>
      </c>
      <c r="D48" s="35" t="str">
        <f t="shared" si="8"/>
        <v/>
      </c>
      <c r="E48" s="35" t="str">
        <f>IF(ISNUMBER(Daten!D46),1,"")</f>
        <v/>
      </c>
      <c r="F48" s="53" t="str">
        <f>IF(ISNUMBER(Daten!E46),Daten!E46,"")</f>
        <v/>
      </c>
      <c r="G48" s="35" t="str">
        <f t="shared" si="1"/>
        <v/>
      </c>
      <c r="H48" s="56" t="str">
        <f t="shared" si="2"/>
        <v/>
      </c>
      <c r="I48" s="36" t="str">
        <f t="shared" si="3"/>
        <v/>
      </c>
      <c r="J48" s="37" t="str">
        <f t="shared" si="5"/>
        <v/>
      </c>
      <c r="K48" s="9"/>
      <c r="L48" s="3" t="str">
        <f t="shared" si="4"/>
        <v/>
      </c>
      <c r="M48" s="3" t="str">
        <f t="shared" si="6"/>
        <v/>
      </c>
      <c r="N48" t="str">
        <f t="shared" si="7"/>
        <v/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G48" s="7"/>
      <c r="AH48" s="7"/>
      <c r="AI48" s="7"/>
      <c r="AJ48" s="3"/>
      <c r="AK48" s="3"/>
      <c r="AL48" s="8"/>
      <c r="AN48" s="8"/>
    </row>
    <row r="49" spans="2:40" x14ac:dyDescent="0.2">
      <c r="B49" s="32">
        <f t="shared" si="0"/>
        <v>32</v>
      </c>
      <c r="C49" s="35" t="str">
        <f>IF(ISNUMBER(Daten!B47),Daten!D47,"")</f>
        <v/>
      </c>
      <c r="D49" s="35" t="str">
        <f t="shared" si="8"/>
        <v/>
      </c>
      <c r="E49" s="35" t="str">
        <f>IF(ISNUMBER(Daten!D47),1,"")</f>
        <v/>
      </c>
      <c r="F49" s="53" t="str">
        <f>IF(ISNUMBER(Daten!E47),Daten!E47,"")</f>
        <v/>
      </c>
      <c r="G49" s="35" t="str">
        <f t="shared" si="1"/>
        <v/>
      </c>
      <c r="H49" s="56" t="str">
        <f t="shared" si="2"/>
        <v/>
      </c>
      <c r="I49" s="36" t="str">
        <f t="shared" si="3"/>
        <v/>
      </c>
      <c r="J49" s="37" t="str">
        <f t="shared" si="5"/>
        <v/>
      </c>
      <c r="K49" s="9"/>
      <c r="L49" s="3" t="str">
        <f t="shared" si="4"/>
        <v/>
      </c>
      <c r="M49" s="3" t="str">
        <f t="shared" si="6"/>
        <v/>
      </c>
      <c r="N49" t="str">
        <f t="shared" si="7"/>
        <v/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G49" s="7"/>
      <c r="AH49" s="7"/>
      <c r="AI49" s="7"/>
      <c r="AJ49" s="3"/>
      <c r="AK49" s="3"/>
      <c r="AL49" s="8"/>
      <c r="AN49" s="8"/>
    </row>
    <row r="50" spans="2:40" x14ac:dyDescent="0.2">
      <c r="B50" s="32">
        <f t="shared" ref="B50:B81" si="9">B49+1</f>
        <v>33</v>
      </c>
      <c r="C50" s="35" t="str">
        <f>IF(ISNUMBER(Daten!B48),Daten!D48,"")</f>
        <v/>
      </c>
      <c r="D50" s="35" t="str">
        <f t="shared" si="8"/>
        <v/>
      </c>
      <c r="E50" s="35" t="str">
        <f>IF(ISNUMBER(Daten!D48),1,"")</f>
        <v/>
      </c>
      <c r="F50" s="53" t="str">
        <f>IF(ISNUMBER(Daten!E48),Daten!E48,"")</f>
        <v/>
      </c>
      <c r="G50" s="35" t="str">
        <f t="shared" ref="G50:G81" si="10">IF(ISNUMBER(C50),G49-E50-F50,"")</f>
        <v/>
      </c>
      <c r="H50" s="56" t="str">
        <f t="shared" ref="H50:H81" si="11">IF(ISNUMBER(C50),(1+G$17-I49)/(1+G50+E50),"")</f>
        <v/>
      </c>
      <c r="I50" s="36" t="str">
        <f t="shared" ref="I50:I81" si="12">IF(ISNUMBER(C50),I49+(E50*H50),"")</f>
        <v/>
      </c>
      <c r="J50" s="37" t="str">
        <f t="shared" si="5"/>
        <v/>
      </c>
      <c r="K50" s="9"/>
      <c r="L50" s="3" t="str">
        <f t="shared" ref="L50:L81" si="13">IF(ISNUMBER(C50),LN(LN(1/(1-J50))),"")</f>
        <v/>
      </c>
      <c r="M50" s="3" t="str">
        <f t="shared" si="6"/>
        <v/>
      </c>
      <c r="N50" t="str">
        <f t="shared" si="7"/>
        <v/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G50" s="7"/>
      <c r="AH50" s="7"/>
      <c r="AI50" s="7"/>
      <c r="AJ50" s="3"/>
      <c r="AK50" s="3"/>
      <c r="AL50" s="8"/>
      <c r="AN50" s="8"/>
    </row>
    <row r="51" spans="2:40" x14ac:dyDescent="0.2">
      <c r="B51" s="32">
        <f t="shared" si="9"/>
        <v>34</v>
      </c>
      <c r="C51" s="35" t="str">
        <f>IF(ISNUMBER(Daten!B49),Daten!D49,"")</f>
        <v/>
      </c>
      <c r="D51" s="35" t="str">
        <f t="shared" si="8"/>
        <v/>
      </c>
      <c r="E51" s="35" t="str">
        <f>IF(ISNUMBER(Daten!D49),1,"")</f>
        <v/>
      </c>
      <c r="F51" s="53" t="str">
        <f>IF(ISNUMBER(Daten!E49),Daten!E49,"")</f>
        <v/>
      </c>
      <c r="G51" s="35" t="str">
        <f t="shared" si="10"/>
        <v/>
      </c>
      <c r="H51" s="56" t="str">
        <f t="shared" si="11"/>
        <v/>
      </c>
      <c r="I51" s="36" t="str">
        <f t="shared" si="12"/>
        <v/>
      </c>
      <c r="J51" s="37" t="str">
        <f t="shared" si="5"/>
        <v/>
      </c>
      <c r="K51" s="9"/>
      <c r="L51" s="3" t="str">
        <f t="shared" si="13"/>
        <v/>
      </c>
      <c r="M51" s="3" t="str">
        <f t="shared" ref="M51:M82" si="14">IF(ISNUMBER(D51),LN(D51),"")</f>
        <v/>
      </c>
      <c r="N51" t="str">
        <f t="shared" si="7"/>
        <v/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G51" s="7"/>
      <c r="AH51" s="7"/>
      <c r="AI51" s="7"/>
      <c r="AJ51" s="3"/>
      <c r="AK51" s="3"/>
      <c r="AL51" s="8"/>
      <c r="AN51" s="8"/>
    </row>
    <row r="52" spans="2:40" x14ac:dyDescent="0.2">
      <c r="B52" s="32">
        <f t="shared" si="9"/>
        <v>35</v>
      </c>
      <c r="C52" s="35" t="str">
        <f>IF(ISNUMBER(Daten!B50),Daten!D50,"")</f>
        <v/>
      </c>
      <c r="D52" s="35" t="str">
        <f t="shared" si="8"/>
        <v/>
      </c>
      <c r="E52" s="35" t="str">
        <f>IF(ISNUMBER(Daten!D50),1,"")</f>
        <v/>
      </c>
      <c r="F52" s="53" t="str">
        <f>IF(ISNUMBER(Daten!E50),Daten!E50,"")</f>
        <v/>
      </c>
      <c r="G52" s="35" t="str">
        <f t="shared" si="10"/>
        <v/>
      </c>
      <c r="H52" s="56" t="str">
        <f t="shared" si="11"/>
        <v/>
      </c>
      <c r="I52" s="36" t="str">
        <f t="shared" si="12"/>
        <v/>
      </c>
      <c r="J52" s="37" t="str">
        <f t="shared" si="5"/>
        <v/>
      </c>
      <c r="K52" s="9"/>
      <c r="L52" s="3" t="str">
        <f t="shared" si="13"/>
        <v/>
      </c>
      <c r="M52" s="3" t="str">
        <f t="shared" si="14"/>
        <v/>
      </c>
      <c r="N52" t="str">
        <f t="shared" si="7"/>
        <v/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G52" s="7"/>
      <c r="AH52" s="7"/>
      <c r="AI52" s="7"/>
      <c r="AJ52" s="3"/>
      <c r="AK52" s="3"/>
      <c r="AL52" s="8"/>
      <c r="AN52" s="8"/>
    </row>
    <row r="53" spans="2:40" x14ac:dyDescent="0.2">
      <c r="B53" s="32">
        <f t="shared" si="9"/>
        <v>36</v>
      </c>
      <c r="C53" s="35" t="str">
        <f>IF(ISNUMBER(Daten!B51),Daten!D51,"")</f>
        <v/>
      </c>
      <c r="D53" s="35" t="str">
        <f t="shared" ref="D53:D84" si="15">IF(ISNUMBER(C53),C53-D$17,"")</f>
        <v/>
      </c>
      <c r="E53" s="35" t="str">
        <f>IF(ISNUMBER(Daten!D51),1,"")</f>
        <v/>
      </c>
      <c r="F53" s="53" t="str">
        <f>IF(ISNUMBER(Daten!E51),Daten!E51,"")</f>
        <v/>
      </c>
      <c r="G53" s="35" t="str">
        <f t="shared" si="10"/>
        <v/>
      </c>
      <c r="H53" s="56" t="str">
        <f t="shared" si="11"/>
        <v/>
      </c>
      <c r="I53" s="36" t="str">
        <f t="shared" si="12"/>
        <v/>
      </c>
      <c r="J53" s="37" t="str">
        <f t="shared" si="5"/>
        <v/>
      </c>
      <c r="K53" s="9"/>
      <c r="L53" s="3" t="str">
        <f t="shared" si="13"/>
        <v/>
      </c>
      <c r="M53" s="3" t="str">
        <f t="shared" si="14"/>
        <v/>
      </c>
      <c r="N53" t="str">
        <f t="shared" si="7"/>
        <v/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G53" s="7"/>
      <c r="AH53" s="7"/>
      <c r="AI53" s="7"/>
      <c r="AJ53" s="3"/>
      <c r="AK53" s="3"/>
      <c r="AL53" s="8"/>
      <c r="AN53" s="8"/>
    </row>
    <row r="54" spans="2:40" x14ac:dyDescent="0.2">
      <c r="B54" s="32">
        <f t="shared" si="9"/>
        <v>37</v>
      </c>
      <c r="C54" s="35" t="str">
        <f>IF(ISNUMBER(Daten!B52),Daten!D52,"")</f>
        <v/>
      </c>
      <c r="D54" s="35" t="str">
        <f t="shared" si="15"/>
        <v/>
      </c>
      <c r="E54" s="35" t="str">
        <f>IF(ISNUMBER(Daten!D52),1,"")</f>
        <v/>
      </c>
      <c r="F54" s="53" t="str">
        <f>IF(ISNUMBER(Daten!E52),Daten!E52,"")</f>
        <v/>
      </c>
      <c r="G54" s="35" t="str">
        <f t="shared" si="10"/>
        <v/>
      </c>
      <c r="H54" s="56" t="str">
        <f t="shared" si="11"/>
        <v/>
      </c>
      <c r="I54" s="36" t="str">
        <f t="shared" si="12"/>
        <v/>
      </c>
      <c r="J54" s="37" t="str">
        <f t="shared" si="5"/>
        <v/>
      </c>
      <c r="K54" s="9"/>
      <c r="L54" s="3" t="str">
        <f t="shared" si="13"/>
        <v/>
      </c>
      <c r="M54" s="3" t="str">
        <f t="shared" si="14"/>
        <v/>
      </c>
      <c r="N54" t="str">
        <f t="shared" si="7"/>
        <v/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G54" s="7"/>
      <c r="AH54" s="7"/>
      <c r="AI54" s="7"/>
      <c r="AJ54" s="3"/>
      <c r="AK54" s="3"/>
      <c r="AL54" s="8"/>
      <c r="AN54" s="8"/>
    </row>
    <row r="55" spans="2:40" x14ac:dyDescent="0.2">
      <c r="B55" s="32">
        <f t="shared" si="9"/>
        <v>38</v>
      </c>
      <c r="C55" s="35" t="str">
        <f>IF(ISNUMBER(Daten!B53),Daten!D53,"")</f>
        <v/>
      </c>
      <c r="D55" s="35" t="str">
        <f t="shared" si="15"/>
        <v/>
      </c>
      <c r="E55" s="35" t="str">
        <f>IF(ISNUMBER(Daten!D53),1,"")</f>
        <v/>
      </c>
      <c r="F55" s="53" t="str">
        <f>IF(ISNUMBER(Daten!E53),Daten!E53,"")</f>
        <v/>
      </c>
      <c r="G55" s="35" t="str">
        <f t="shared" si="10"/>
        <v/>
      </c>
      <c r="H55" s="56" t="str">
        <f t="shared" si="11"/>
        <v/>
      </c>
      <c r="I55" s="36" t="str">
        <f t="shared" si="12"/>
        <v/>
      </c>
      <c r="J55" s="37" t="str">
        <f t="shared" si="5"/>
        <v/>
      </c>
      <c r="K55" s="9"/>
      <c r="L55" s="3" t="str">
        <f t="shared" si="13"/>
        <v/>
      </c>
      <c r="M55" s="3" t="str">
        <f t="shared" si="14"/>
        <v/>
      </c>
      <c r="N55" t="str">
        <f t="shared" si="7"/>
        <v/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G55" s="7"/>
      <c r="AH55" s="7"/>
      <c r="AI55" s="7"/>
      <c r="AJ55" s="3"/>
      <c r="AK55" s="3"/>
      <c r="AL55" s="8"/>
      <c r="AN55" s="8"/>
    </row>
    <row r="56" spans="2:40" x14ac:dyDescent="0.2">
      <c r="B56" s="32">
        <f t="shared" si="9"/>
        <v>39</v>
      </c>
      <c r="C56" s="35" t="str">
        <f>IF(ISNUMBER(Daten!B54),Daten!D54,"")</f>
        <v/>
      </c>
      <c r="D56" s="35" t="str">
        <f t="shared" si="15"/>
        <v/>
      </c>
      <c r="E56" s="35" t="str">
        <f>IF(ISNUMBER(Daten!D54),1,"")</f>
        <v/>
      </c>
      <c r="F56" s="53" t="str">
        <f>IF(ISNUMBER(Daten!E54),Daten!E54,"")</f>
        <v/>
      </c>
      <c r="G56" s="35" t="str">
        <f t="shared" si="10"/>
        <v/>
      </c>
      <c r="H56" s="56" t="str">
        <f t="shared" si="11"/>
        <v/>
      </c>
      <c r="I56" s="36" t="str">
        <f t="shared" si="12"/>
        <v/>
      </c>
      <c r="J56" s="37" t="str">
        <f t="shared" si="5"/>
        <v/>
      </c>
      <c r="K56" s="9"/>
      <c r="L56" s="3" t="str">
        <f t="shared" si="13"/>
        <v/>
      </c>
      <c r="M56" s="3" t="str">
        <f t="shared" si="14"/>
        <v/>
      </c>
      <c r="N56" t="str">
        <f t="shared" si="7"/>
        <v/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G56" s="7"/>
      <c r="AH56" s="7"/>
      <c r="AI56" s="7"/>
      <c r="AJ56" s="3"/>
      <c r="AK56" s="3"/>
      <c r="AL56" s="8"/>
      <c r="AN56" s="8"/>
    </row>
    <row r="57" spans="2:40" x14ac:dyDescent="0.2">
      <c r="B57" s="32">
        <f t="shared" si="9"/>
        <v>40</v>
      </c>
      <c r="C57" s="35" t="str">
        <f>IF(ISNUMBER(Daten!B55),Daten!D55,"")</f>
        <v/>
      </c>
      <c r="D57" s="35" t="str">
        <f t="shared" si="15"/>
        <v/>
      </c>
      <c r="E57" s="35" t="str">
        <f>IF(ISNUMBER(Daten!D55),1,"")</f>
        <v/>
      </c>
      <c r="F57" s="53" t="str">
        <f>IF(ISNUMBER(Daten!E55),Daten!E55,"")</f>
        <v/>
      </c>
      <c r="G57" s="35" t="str">
        <f t="shared" si="10"/>
        <v/>
      </c>
      <c r="H57" s="56" t="str">
        <f t="shared" si="11"/>
        <v/>
      </c>
      <c r="I57" s="36" t="str">
        <f t="shared" si="12"/>
        <v/>
      </c>
      <c r="J57" s="37" t="str">
        <f t="shared" si="5"/>
        <v/>
      </c>
      <c r="K57" s="9"/>
      <c r="L57" s="3" t="str">
        <f t="shared" si="13"/>
        <v/>
      </c>
      <c r="M57" s="3" t="str">
        <f t="shared" si="14"/>
        <v/>
      </c>
      <c r="N57" t="str">
        <f t="shared" si="7"/>
        <v/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G57" s="7"/>
      <c r="AH57" s="7"/>
      <c r="AI57" s="7"/>
      <c r="AJ57" s="3"/>
      <c r="AK57" s="3"/>
      <c r="AL57" s="8"/>
      <c r="AN57" s="8"/>
    </row>
    <row r="58" spans="2:40" x14ac:dyDescent="0.2">
      <c r="B58" s="32">
        <f t="shared" si="9"/>
        <v>41</v>
      </c>
      <c r="C58" s="35" t="str">
        <f>IF(ISNUMBER(Daten!B56),Daten!D56,"")</f>
        <v/>
      </c>
      <c r="D58" s="35" t="str">
        <f t="shared" si="15"/>
        <v/>
      </c>
      <c r="E58" s="35" t="str">
        <f>IF(ISNUMBER(Daten!D56),1,"")</f>
        <v/>
      </c>
      <c r="F58" s="53" t="str">
        <f>IF(ISNUMBER(Daten!E56),Daten!E56,"")</f>
        <v/>
      </c>
      <c r="G58" s="35" t="str">
        <f t="shared" si="10"/>
        <v/>
      </c>
      <c r="H58" s="56" t="str">
        <f t="shared" si="11"/>
        <v/>
      </c>
      <c r="I58" s="36" t="str">
        <f t="shared" si="12"/>
        <v/>
      </c>
      <c r="J58" s="37" t="str">
        <f t="shared" si="5"/>
        <v/>
      </c>
      <c r="K58" s="9"/>
      <c r="L58" s="3" t="str">
        <f t="shared" si="13"/>
        <v/>
      </c>
      <c r="M58" s="3" t="str">
        <f t="shared" si="14"/>
        <v/>
      </c>
      <c r="N58" t="str">
        <f t="shared" si="7"/>
        <v/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G58" s="7"/>
      <c r="AH58" s="7"/>
      <c r="AI58" s="7"/>
      <c r="AJ58" s="3"/>
      <c r="AK58" s="3"/>
      <c r="AL58" s="8"/>
      <c r="AN58" s="8"/>
    </row>
    <row r="59" spans="2:40" x14ac:dyDescent="0.2">
      <c r="B59" s="32">
        <f t="shared" si="9"/>
        <v>42</v>
      </c>
      <c r="C59" s="35" t="str">
        <f>IF(ISNUMBER(Daten!B57),Daten!D57,"")</f>
        <v/>
      </c>
      <c r="D59" s="35" t="str">
        <f t="shared" si="15"/>
        <v/>
      </c>
      <c r="E59" s="35" t="str">
        <f>IF(ISNUMBER(Daten!D57),1,"")</f>
        <v/>
      </c>
      <c r="F59" s="53" t="str">
        <f>IF(ISNUMBER(Daten!E57),Daten!E57,"")</f>
        <v/>
      </c>
      <c r="G59" s="35" t="str">
        <f t="shared" si="10"/>
        <v/>
      </c>
      <c r="H59" s="56" t="str">
        <f t="shared" si="11"/>
        <v/>
      </c>
      <c r="I59" s="36" t="str">
        <f t="shared" si="12"/>
        <v/>
      </c>
      <c r="J59" s="37" t="str">
        <f t="shared" si="5"/>
        <v/>
      </c>
      <c r="K59" s="9"/>
      <c r="L59" s="3" t="str">
        <f t="shared" si="13"/>
        <v/>
      </c>
      <c r="M59" s="3" t="str">
        <f t="shared" si="14"/>
        <v/>
      </c>
      <c r="N59" t="str">
        <f t="shared" si="7"/>
        <v/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G59" s="7"/>
      <c r="AH59" s="7"/>
      <c r="AI59" s="7"/>
      <c r="AJ59" s="3"/>
      <c r="AK59" s="3"/>
      <c r="AL59" s="8"/>
      <c r="AN59" s="8"/>
    </row>
    <row r="60" spans="2:40" x14ac:dyDescent="0.2">
      <c r="B60" s="32">
        <f t="shared" si="9"/>
        <v>43</v>
      </c>
      <c r="C60" s="35" t="str">
        <f>IF(ISNUMBER(Daten!B58),Daten!D58,"")</f>
        <v/>
      </c>
      <c r="D60" s="35" t="str">
        <f t="shared" si="15"/>
        <v/>
      </c>
      <c r="E60" s="35" t="str">
        <f>IF(ISNUMBER(Daten!D58),1,"")</f>
        <v/>
      </c>
      <c r="F60" s="53" t="str">
        <f>IF(ISNUMBER(Daten!E58),Daten!E58,"")</f>
        <v/>
      </c>
      <c r="G60" s="35" t="str">
        <f t="shared" si="10"/>
        <v/>
      </c>
      <c r="H60" s="56" t="str">
        <f t="shared" si="11"/>
        <v/>
      </c>
      <c r="I60" s="36" t="str">
        <f t="shared" si="12"/>
        <v/>
      </c>
      <c r="J60" s="37" t="str">
        <f t="shared" si="5"/>
        <v/>
      </c>
      <c r="K60" s="9"/>
      <c r="L60" s="3" t="str">
        <f t="shared" si="13"/>
        <v/>
      </c>
      <c r="M60" s="3" t="str">
        <f t="shared" si="14"/>
        <v/>
      </c>
      <c r="N60" t="str">
        <f t="shared" si="7"/>
        <v/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G60" s="7"/>
      <c r="AH60" s="7"/>
      <c r="AI60" s="7"/>
      <c r="AJ60" s="3"/>
      <c r="AK60" s="3"/>
      <c r="AL60" s="8"/>
      <c r="AN60" s="8"/>
    </row>
    <row r="61" spans="2:40" x14ac:dyDescent="0.2">
      <c r="B61" s="32">
        <f t="shared" si="9"/>
        <v>44</v>
      </c>
      <c r="C61" s="35" t="str">
        <f>IF(ISNUMBER(Daten!B59),Daten!D59,"")</f>
        <v/>
      </c>
      <c r="D61" s="35" t="str">
        <f t="shared" si="15"/>
        <v/>
      </c>
      <c r="E61" s="35" t="str">
        <f>IF(ISNUMBER(Daten!D59),1,"")</f>
        <v/>
      </c>
      <c r="F61" s="53" t="str">
        <f>IF(ISNUMBER(Daten!E59),Daten!E59,"")</f>
        <v/>
      </c>
      <c r="G61" s="35" t="str">
        <f t="shared" si="10"/>
        <v/>
      </c>
      <c r="H61" s="56" t="str">
        <f t="shared" si="11"/>
        <v/>
      </c>
      <c r="I61" s="36" t="str">
        <f t="shared" si="12"/>
        <v/>
      </c>
      <c r="J61" s="37" t="str">
        <f t="shared" si="5"/>
        <v/>
      </c>
      <c r="K61" s="9"/>
      <c r="L61" s="3" t="str">
        <f t="shared" si="13"/>
        <v/>
      </c>
      <c r="M61" s="3" t="str">
        <f t="shared" si="14"/>
        <v/>
      </c>
      <c r="N61" t="str">
        <f t="shared" si="7"/>
        <v/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G61" s="7"/>
      <c r="AH61" s="7"/>
      <c r="AI61" s="7"/>
      <c r="AJ61" s="3"/>
      <c r="AK61" s="3"/>
      <c r="AL61" s="8"/>
      <c r="AN61" s="8"/>
    </row>
    <row r="62" spans="2:40" x14ac:dyDescent="0.2">
      <c r="B62" s="32">
        <f t="shared" si="9"/>
        <v>45</v>
      </c>
      <c r="C62" s="35" t="str">
        <f>IF(ISNUMBER(Daten!B60),Daten!D60,"")</f>
        <v/>
      </c>
      <c r="D62" s="35" t="str">
        <f t="shared" si="15"/>
        <v/>
      </c>
      <c r="E62" s="35" t="str">
        <f>IF(ISNUMBER(Daten!D60),1,"")</f>
        <v/>
      </c>
      <c r="F62" s="53" t="str">
        <f>IF(ISNUMBER(Daten!E60),Daten!E60,"")</f>
        <v/>
      </c>
      <c r="G62" s="35" t="str">
        <f t="shared" si="10"/>
        <v/>
      </c>
      <c r="H62" s="56" t="str">
        <f t="shared" si="11"/>
        <v/>
      </c>
      <c r="I62" s="36" t="str">
        <f t="shared" si="12"/>
        <v/>
      </c>
      <c r="J62" s="37" t="str">
        <f t="shared" si="5"/>
        <v/>
      </c>
      <c r="K62" s="9"/>
      <c r="L62" s="3" t="str">
        <f t="shared" si="13"/>
        <v/>
      </c>
      <c r="M62" s="3" t="str">
        <f t="shared" si="14"/>
        <v/>
      </c>
      <c r="N62" t="str">
        <f t="shared" si="7"/>
        <v/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G62" s="7"/>
      <c r="AH62" s="7"/>
      <c r="AI62" s="7"/>
      <c r="AJ62" s="3"/>
      <c r="AK62" s="3"/>
      <c r="AL62" s="8"/>
      <c r="AN62" s="8"/>
    </row>
    <row r="63" spans="2:40" x14ac:dyDescent="0.2">
      <c r="B63" s="32">
        <f t="shared" si="9"/>
        <v>46</v>
      </c>
      <c r="C63" s="35" t="str">
        <f>IF(ISNUMBER(Daten!B61),Daten!D61,"")</f>
        <v/>
      </c>
      <c r="D63" s="35" t="str">
        <f t="shared" si="15"/>
        <v/>
      </c>
      <c r="E63" s="35" t="str">
        <f>IF(ISNUMBER(Daten!D61),1,"")</f>
        <v/>
      </c>
      <c r="F63" s="53" t="str">
        <f>IF(ISNUMBER(Daten!E61),Daten!E61,"")</f>
        <v/>
      </c>
      <c r="G63" s="35" t="str">
        <f t="shared" si="10"/>
        <v/>
      </c>
      <c r="H63" s="56" t="str">
        <f t="shared" si="11"/>
        <v/>
      </c>
      <c r="I63" s="36" t="str">
        <f t="shared" si="12"/>
        <v/>
      </c>
      <c r="J63" s="37" t="str">
        <f t="shared" si="5"/>
        <v/>
      </c>
      <c r="K63" s="9"/>
      <c r="L63" s="3" t="str">
        <f t="shared" si="13"/>
        <v/>
      </c>
      <c r="M63" s="3" t="str">
        <f t="shared" si="14"/>
        <v/>
      </c>
      <c r="N63" t="str">
        <f t="shared" si="7"/>
        <v/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G63" s="7"/>
      <c r="AH63" s="7"/>
      <c r="AI63" s="7"/>
      <c r="AJ63" s="3"/>
      <c r="AK63" s="3"/>
      <c r="AL63" s="8"/>
      <c r="AN63" s="8"/>
    </row>
    <row r="64" spans="2:40" x14ac:dyDescent="0.2">
      <c r="B64" s="32">
        <f t="shared" si="9"/>
        <v>47</v>
      </c>
      <c r="C64" s="35" t="str">
        <f>IF(ISNUMBER(Daten!B62),Daten!D62,"")</f>
        <v/>
      </c>
      <c r="D64" s="35" t="str">
        <f t="shared" si="15"/>
        <v/>
      </c>
      <c r="E64" s="35" t="str">
        <f>IF(ISNUMBER(Daten!D62),1,"")</f>
        <v/>
      </c>
      <c r="F64" s="53" t="str">
        <f>IF(ISNUMBER(Daten!E62),Daten!E62,"")</f>
        <v/>
      </c>
      <c r="G64" s="35" t="str">
        <f t="shared" si="10"/>
        <v/>
      </c>
      <c r="H64" s="56" t="str">
        <f t="shared" si="11"/>
        <v/>
      </c>
      <c r="I64" s="36" t="str">
        <f t="shared" si="12"/>
        <v/>
      </c>
      <c r="J64" s="37" t="str">
        <f t="shared" si="5"/>
        <v/>
      </c>
      <c r="K64" s="9"/>
      <c r="L64" s="3" t="str">
        <f t="shared" si="13"/>
        <v/>
      </c>
      <c r="M64" s="3" t="str">
        <f t="shared" si="14"/>
        <v/>
      </c>
      <c r="N64" t="str">
        <f t="shared" si="7"/>
        <v/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G64" s="7"/>
      <c r="AH64" s="7"/>
      <c r="AI64" s="7"/>
      <c r="AJ64" s="3"/>
      <c r="AK64" s="3"/>
      <c r="AL64" s="8"/>
      <c r="AN64" s="8"/>
    </row>
    <row r="65" spans="2:40" x14ac:dyDescent="0.2">
      <c r="B65" s="32">
        <f t="shared" si="9"/>
        <v>48</v>
      </c>
      <c r="C65" s="35" t="str">
        <f>IF(ISNUMBER(Daten!B63),Daten!D63,"")</f>
        <v/>
      </c>
      <c r="D65" s="35" t="str">
        <f t="shared" si="15"/>
        <v/>
      </c>
      <c r="E65" s="35" t="str">
        <f>IF(ISNUMBER(Daten!D63),1,"")</f>
        <v/>
      </c>
      <c r="F65" s="53" t="str">
        <f>IF(ISNUMBER(Daten!E63),Daten!E63,"")</f>
        <v/>
      </c>
      <c r="G65" s="35" t="str">
        <f t="shared" si="10"/>
        <v/>
      </c>
      <c r="H65" s="56" t="str">
        <f t="shared" si="11"/>
        <v/>
      </c>
      <c r="I65" s="36" t="str">
        <f t="shared" si="12"/>
        <v/>
      </c>
      <c r="J65" s="37" t="str">
        <f t="shared" si="5"/>
        <v/>
      </c>
      <c r="K65" s="9"/>
      <c r="L65" s="3" t="str">
        <f t="shared" si="13"/>
        <v/>
      </c>
      <c r="M65" s="3" t="str">
        <f t="shared" si="14"/>
        <v/>
      </c>
      <c r="N65" t="str">
        <f t="shared" si="7"/>
        <v/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G65" s="7"/>
      <c r="AH65" s="7"/>
      <c r="AI65" s="7"/>
      <c r="AJ65" s="3"/>
      <c r="AK65" s="3"/>
      <c r="AL65" s="8"/>
      <c r="AN65" s="8"/>
    </row>
    <row r="66" spans="2:40" x14ac:dyDescent="0.2">
      <c r="B66" s="32">
        <f t="shared" si="9"/>
        <v>49</v>
      </c>
      <c r="C66" s="35" t="str">
        <f>IF(ISNUMBER(Daten!B64),Daten!D64,"")</f>
        <v/>
      </c>
      <c r="D66" s="35" t="str">
        <f t="shared" si="15"/>
        <v/>
      </c>
      <c r="E66" s="35" t="str">
        <f>IF(ISNUMBER(Daten!D64),1,"")</f>
        <v/>
      </c>
      <c r="F66" s="53" t="str">
        <f>IF(ISNUMBER(Daten!E64),Daten!E64,"")</f>
        <v/>
      </c>
      <c r="G66" s="35" t="str">
        <f t="shared" si="10"/>
        <v/>
      </c>
      <c r="H66" s="56" t="str">
        <f t="shared" si="11"/>
        <v/>
      </c>
      <c r="I66" s="36" t="str">
        <f t="shared" si="12"/>
        <v/>
      </c>
      <c r="J66" s="37" t="str">
        <f t="shared" si="5"/>
        <v/>
      </c>
      <c r="K66" s="9"/>
      <c r="L66" s="3" t="str">
        <f t="shared" si="13"/>
        <v/>
      </c>
      <c r="M66" s="3" t="str">
        <f t="shared" si="14"/>
        <v/>
      </c>
      <c r="N66" t="str">
        <f t="shared" si="7"/>
        <v/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G66" s="7"/>
      <c r="AH66" s="7"/>
      <c r="AI66" s="7"/>
      <c r="AJ66" s="3"/>
      <c r="AK66" s="3"/>
      <c r="AL66" s="8"/>
      <c r="AN66" s="8"/>
    </row>
    <row r="67" spans="2:40" x14ac:dyDescent="0.2">
      <c r="B67" s="32">
        <f t="shared" si="9"/>
        <v>50</v>
      </c>
      <c r="C67" s="35" t="str">
        <f>IF(ISNUMBER(Daten!B65),Daten!D65,"")</f>
        <v/>
      </c>
      <c r="D67" s="35" t="str">
        <f t="shared" si="15"/>
        <v/>
      </c>
      <c r="E67" s="35" t="str">
        <f>IF(ISNUMBER(Daten!D65),1,"")</f>
        <v/>
      </c>
      <c r="F67" s="53" t="str">
        <f>IF(ISNUMBER(Daten!E65),Daten!E65,"")</f>
        <v/>
      </c>
      <c r="G67" s="35" t="str">
        <f t="shared" si="10"/>
        <v/>
      </c>
      <c r="H67" s="56" t="str">
        <f t="shared" si="11"/>
        <v/>
      </c>
      <c r="I67" s="36" t="str">
        <f t="shared" si="12"/>
        <v/>
      </c>
      <c r="J67" s="37" t="str">
        <f t="shared" si="5"/>
        <v/>
      </c>
      <c r="K67" s="9"/>
      <c r="L67" s="3" t="str">
        <f t="shared" si="13"/>
        <v/>
      </c>
      <c r="M67" s="3" t="str">
        <f t="shared" si="14"/>
        <v/>
      </c>
      <c r="N67" t="str">
        <f t="shared" si="7"/>
        <v/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G67" s="7"/>
      <c r="AH67" s="7"/>
      <c r="AI67" s="7"/>
      <c r="AJ67" s="3"/>
      <c r="AK67" s="3"/>
      <c r="AL67" s="8"/>
      <c r="AN67" s="8"/>
    </row>
    <row r="68" spans="2:40" x14ac:dyDescent="0.2">
      <c r="B68" s="32">
        <f t="shared" si="9"/>
        <v>51</v>
      </c>
      <c r="C68" s="35" t="str">
        <f>IF(ISNUMBER(Daten!B66),Daten!D66,"")</f>
        <v/>
      </c>
      <c r="D68" s="35" t="str">
        <f t="shared" si="15"/>
        <v/>
      </c>
      <c r="E68" s="35" t="str">
        <f>IF(ISNUMBER(Daten!D66),1,"")</f>
        <v/>
      </c>
      <c r="F68" s="53" t="str">
        <f>IF(ISNUMBER(Daten!E66),Daten!E66,"")</f>
        <v/>
      </c>
      <c r="G68" s="35" t="str">
        <f t="shared" si="10"/>
        <v/>
      </c>
      <c r="H68" s="56" t="str">
        <f t="shared" si="11"/>
        <v/>
      </c>
      <c r="I68" s="36" t="str">
        <f t="shared" si="12"/>
        <v/>
      </c>
      <c r="J68" s="37" t="str">
        <f t="shared" si="5"/>
        <v/>
      </c>
      <c r="K68" s="9"/>
      <c r="L68" s="3" t="str">
        <f t="shared" si="13"/>
        <v/>
      </c>
      <c r="M68" s="3" t="str">
        <f t="shared" si="14"/>
        <v/>
      </c>
      <c r="N68" t="str">
        <f t="shared" si="7"/>
        <v/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G68" s="7"/>
      <c r="AH68" s="7"/>
      <c r="AI68" s="7"/>
      <c r="AJ68" s="3"/>
      <c r="AK68" s="3"/>
      <c r="AL68" s="8"/>
      <c r="AN68" s="8"/>
    </row>
    <row r="69" spans="2:40" x14ac:dyDescent="0.2">
      <c r="B69" s="32">
        <f t="shared" si="9"/>
        <v>52</v>
      </c>
      <c r="C69" s="35" t="str">
        <f>IF(ISNUMBER(Daten!B67),Daten!D67,"")</f>
        <v/>
      </c>
      <c r="D69" s="35" t="str">
        <f t="shared" si="15"/>
        <v/>
      </c>
      <c r="E69" s="35" t="str">
        <f>IF(ISNUMBER(Daten!D67),1,"")</f>
        <v/>
      </c>
      <c r="F69" s="53" t="str">
        <f>IF(ISNUMBER(Daten!E67),Daten!E67,"")</f>
        <v/>
      </c>
      <c r="G69" s="35" t="str">
        <f t="shared" si="10"/>
        <v/>
      </c>
      <c r="H69" s="56" t="str">
        <f t="shared" si="11"/>
        <v/>
      </c>
      <c r="I69" s="36" t="str">
        <f t="shared" si="12"/>
        <v/>
      </c>
      <c r="J69" s="37" t="str">
        <f t="shared" si="5"/>
        <v/>
      </c>
      <c r="K69" s="9"/>
      <c r="L69" s="3" t="str">
        <f t="shared" si="13"/>
        <v/>
      </c>
      <c r="M69" s="3" t="str">
        <f t="shared" si="14"/>
        <v/>
      </c>
      <c r="N69" t="str">
        <f t="shared" si="7"/>
        <v/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G69" s="7"/>
      <c r="AH69" s="7"/>
      <c r="AI69" s="7"/>
      <c r="AJ69" s="3"/>
      <c r="AK69" s="3"/>
      <c r="AL69" s="8"/>
      <c r="AN69" s="8"/>
    </row>
    <row r="70" spans="2:40" x14ac:dyDescent="0.2">
      <c r="B70" s="32">
        <f t="shared" si="9"/>
        <v>53</v>
      </c>
      <c r="C70" s="35" t="str">
        <f>IF(ISNUMBER(Daten!B68),Daten!D68,"")</f>
        <v/>
      </c>
      <c r="D70" s="35" t="str">
        <f t="shared" si="15"/>
        <v/>
      </c>
      <c r="E70" s="35" t="str">
        <f>IF(ISNUMBER(Daten!D68),1,"")</f>
        <v/>
      </c>
      <c r="F70" s="53" t="str">
        <f>IF(ISNUMBER(Daten!E68),Daten!E68,"")</f>
        <v/>
      </c>
      <c r="G70" s="35" t="str">
        <f t="shared" si="10"/>
        <v/>
      </c>
      <c r="H70" s="56" t="str">
        <f t="shared" si="11"/>
        <v/>
      </c>
      <c r="I70" s="36" t="str">
        <f t="shared" si="12"/>
        <v/>
      </c>
      <c r="J70" s="37" t="str">
        <f t="shared" si="5"/>
        <v/>
      </c>
      <c r="K70" s="9"/>
      <c r="L70" s="3" t="str">
        <f t="shared" si="13"/>
        <v/>
      </c>
      <c r="M70" s="3" t="str">
        <f t="shared" si="14"/>
        <v/>
      </c>
      <c r="N70" t="str">
        <f t="shared" si="7"/>
        <v/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G70" s="7"/>
      <c r="AH70" s="7"/>
      <c r="AI70" s="7"/>
      <c r="AJ70" s="3"/>
      <c r="AK70" s="3"/>
      <c r="AL70" s="8"/>
      <c r="AN70" s="8"/>
    </row>
    <row r="71" spans="2:40" x14ac:dyDescent="0.2">
      <c r="B71" s="32">
        <f t="shared" si="9"/>
        <v>54</v>
      </c>
      <c r="C71" s="35" t="str">
        <f>IF(ISNUMBER(Daten!B69),Daten!D69,"")</f>
        <v/>
      </c>
      <c r="D71" s="35" t="str">
        <f t="shared" si="15"/>
        <v/>
      </c>
      <c r="E71" s="35" t="str">
        <f>IF(ISNUMBER(Daten!D69),1,"")</f>
        <v/>
      </c>
      <c r="F71" s="53" t="str">
        <f>IF(ISNUMBER(Daten!E69),Daten!E69,"")</f>
        <v/>
      </c>
      <c r="G71" s="35" t="str">
        <f t="shared" si="10"/>
        <v/>
      </c>
      <c r="H71" s="56" t="str">
        <f t="shared" si="11"/>
        <v/>
      </c>
      <c r="I71" s="36" t="str">
        <f t="shared" si="12"/>
        <v/>
      </c>
      <c r="J71" s="37" t="str">
        <f t="shared" si="5"/>
        <v/>
      </c>
      <c r="K71" s="9"/>
      <c r="L71" s="3" t="str">
        <f t="shared" si="13"/>
        <v/>
      </c>
      <c r="M71" s="3" t="str">
        <f t="shared" si="14"/>
        <v/>
      </c>
      <c r="N71" t="str">
        <f t="shared" si="7"/>
        <v/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G71" s="7"/>
      <c r="AH71" s="7"/>
      <c r="AI71" s="7"/>
      <c r="AJ71" s="3"/>
      <c r="AK71" s="3"/>
      <c r="AL71" s="8"/>
      <c r="AN71" s="8"/>
    </row>
    <row r="72" spans="2:40" x14ac:dyDescent="0.2">
      <c r="B72" s="32">
        <f t="shared" si="9"/>
        <v>55</v>
      </c>
      <c r="C72" s="35" t="str">
        <f>IF(ISNUMBER(Daten!B70),Daten!D70,"")</f>
        <v/>
      </c>
      <c r="D72" s="35" t="str">
        <f t="shared" si="15"/>
        <v/>
      </c>
      <c r="E72" s="35" t="str">
        <f>IF(ISNUMBER(Daten!D70),1,"")</f>
        <v/>
      </c>
      <c r="F72" s="53" t="str">
        <f>IF(ISNUMBER(Daten!E70),Daten!E70,"")</f>
        <v/>
      </c>
      <c r="G72" s="35" t="str">
        <f t="shared" si="10"/>
        <v/>
      </c>
      <c r="H72" s="56" t="str">
        <f t="shared" si="11"/>
        <v/>
      </c>
      <c r="I72" s="36" t="str">
        <f t="shared" si="12"/>
        <v/>
      </c>
      <c r="J72" s="37" t="str">
        <f t="shared" si="5"/>
        <v/>
      </c>
      <c r="K72" s="9"/>
      <c r="L72" s="3" t="str">
        <f t="shared" si="13"/>
        <v/>
      </c>
      <c r="M72" s="3" t="str">
        <f t="shared" si="14"/>
        <v/>
      </c>
      <c r="N72" t="str">
        <f t="shared" si="7"/>
        <v/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G72" s="7"/>
      <c r="AH72" s="7"/>
      <c r="AI72" s="7"/>
      <c r="AJ72" s="3"/>
      <c r="AK72" s="3"/>
      <c r="AL72" s="8"/>
      <c r="AN72" s="8"/>
    </row>
    <row r="73" spans="2:40" x14ac:dyDescent="0.2">
      <c r="B73" s="32">
        <f t="shared" si="9"/>
        <v>56</v>
      </c>
      <c r="C73" s="35" t="str">
        <f>IF(ISNUMBER(Daten!B71),Daten!D71,"")</f>
        <v/>
      </c>
      <c r="D73" s="35" t="str">
        <f t="shared" si="15"/>
        <v/>
      </c>
      <c r="E73" s="35" t="str">
        <f>IF(ISNUMBER(Daten!D71),1,"")</f>
        <v/>
      </c>
      <c r="F73" s="53" t="str">
        <f>IF(ISNUMBER(Daten!E71),Daten!E71,"")</f>
        <v/>
      </c>
      <c r="G73" s="35" t="str">
        <f t="shared" si="10"/>
        <v/>
      </c>
      <c r="H73" s="56" t="str">
        <f t="shared" si="11"/>
        <v/>
      </c>
      <c r="I73" s="36" t="str">
        <f t="shared" si="12"/>
        <v/>
      </c>
      <c r="J73" s="37" t="str">
        <f t="shared" si="5"/>
        <v/>
      </c>
      <c r="K73" s="9"/>
      <c r="L73" s="3" t="str">
        <f t="shared" si="13"/>
        <v/>
      </c>
      <c r="M73" s="3" t="str">
        <f t="shared" si="14"/>
        <v/>
      </c>
      <c r="N73" t="str">
        <f t="shared" si="7"/>
        <v/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G73" s="7"/>
      <c r="AH73" s="7"/>
      <c r="AI73" s="7"/>
      <c r="AJ73" s="3"/>
      <c r="AK73" s="3"/>
      <c r="AL73" s="8"/>
      <c r="AN73" s="8"/>
    </row>
    <row r="74" spans="2:40" x14ac:dyDescent="0.2">
      <c r="B74" s="32">
        <f t="shared" si="9"/>
        <v>57</v>
      </c>
      <c r="C74" s="35" t="str">
        <f>IF(ISNUMBER(Daten!B72),Daten!D72,"")</f>
        <v/>
      </c>
      <c r="D74" s="35" t="str">
        <f t="shared" si="15"/>
        <v/>
      </c>
      <c r="E74" s="35" t="str">
        <f>IF(ISNUMBER(Daten!D72),1,"")</f>
        <v/>
      </c>
      <c r="F74" s="53" t="str">
        <f>IF(ISNUMBER(Daten!E72),Daten!E72,"")</f>
        <v/>
      </c>
      <c r="G74" s="35" t="str">
        <f t="shared" si="10"/>
        <v/>
      </c>
      <c r="H74" s="56" t="str">
        <f t="shared" si="11"/>
        <v/>
      </c>
      <c r="I74" s="36" t="str">
        <f t="shared" si="12"/>
        <v/>
      </c>
      <c r="J74" s="37" t="str">
        <f t="shared" si="5"/>
        <v/>
      </c>
      <c r="K74" s="9"/>
      <c r="L74" s="3" t="str">
        <f t="shared" si="13"/>
        <v/>
      </c>
      <c r="M74" s="3" t="str">
        <f t="shared" si="14"/>
        <v/>
      </c>
      <c r="N74" t="str">
        <f t="shared" si="7"/>
        <v/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G74" s="7"/>
      <c r="AH74" s="7"/>
      <c r="AI74" s="7"/>
      <c r="AJ74" s="3"/>
      <c r="AK74" s="3"/>
      <c r="AL74" s="8"/>
      <c r="AN74" s="8"/>
    </row>
    <row r="75" spans="2:40" x14ac:dyDescent="0.2">
      <c r="B75" s="32">
        <f t="shared" si="9"/>
        <v>58</v>
      </c>
      <c r="C75" s="35" t="str">
        <f>IF(ISNUMBER(Daten!B73),Daten!D73,"")</f>
        <v/>
      </c>
      <c r="D75" s="35" t="str">
        <f t="shared" si="15"/>
        <v/>
      </c>
      <c r="E75" s="35" t="str">
        <f>IF(ISNUMBER(Daten!D73),1,"")</f>
        <v/>
      </c>
      <c r="F75" s="53" t="str">
        <f>IF(ISNUMBER(Daten!E73),Daten!E73,"")</f>
        <v/>
      </c>
      <c r="G75" s="35" t="str">
        <f t="shared" si="10"/>
        <v/>
      </c>
      <c r="H75" s="56" t="str">
        <f t="shared" si="11"/>
        <v/>
      </c>
      <c r="I75" s="36" t="str">
        <f t="shared" si="12"/>
        <v/>
      </c>
      <c r="J75" s="37" t="str">
        <f t="shared" si="5"/>
        <v/>
      </c>
      <c r="K75" s="9"/>
      <c r="L75" s="3" t="str">
        <f t="shared" si="13"/>
        <v/>
      </c>
      <c r="M75" s="3" t="str">
        <f t="shared" si="14"/>
        <v/>
      </c>
      <c r="N75" t="str">
        <f t="shared" si="7"/>
        <v/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G75" s="7"/>
      <c r="AH75" s="7"/>
      <c r="AI75" s="7"/>
      <c r="AJ75" s="3"/>
      <c r="AK75" s="3"/>
      <c r="AL75" s="8"/>
      <c r="AN75" s="8"/>
    </row>
    <row r="76" spans="2:40" x14ac:dyDescent="0.2">
      <c r="B76" s="32">
        <f t="shared" si="9"/>
        <v>59</v>
      </c>
      <c r="C76" s="35" t="str">
        <f>IF(ISNUMBER(Daten!B74),Daten!D74,"")</f>
        <v/>
      </c>
      <c r="D76" s="35" t="str">
        <f t="shared" si="15"/>
        <v/>
      </c>
      <c r="E76" s="35" t="str">
        <f>IF(ISNUMBER(Daten!D74),1,"")</f>
        <v/>
      </c>
      <c r="F76" s="53" t="str">
        <f>IF(ISNUMBER(Daten!E74),Daten!E74,"")</f>
        <v/>
      </c>
      <c r="G76" s="35" t="str">
        <f t="shared" si="10"/>
        <v/>
      </c>
      <c r="H76" s="56" t="str">
        <f t="shared" si="11"/>
        <v/>
      </c>
      <c r="I76" s="36" t="str">
        <f t="shared" si="12"/>
        <v/>
      </c>
      <c r="J76" s="37" t="str">
        <f t="shared" si="5"/>
        <v/>
      </c>
      <c r="K76" s="9"/>
      <c r="L76" s="3" t="str">
        <f t="shared" si="13"/>
        <v/>
      </c>
      <c r="M76" s="3" t="str">
        <f t="shared" si="14"/>
        <v/>
      </c>
      <c r="N76" t="str">
        <f t="shared" si="7"/>
        <v/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G76" s="7"/>
      <c r="AH76" s="7"/>
      <c r="AI76" s="7"/>
      <c r="AJ76" s="3"/>
      <c r="AK76" s="3"/>
      <c r="AL76" s="8"/>
      <c r="AN76" s="8"/>
    </row>
    <row r="77" spans="2:40" x14ac:dyDescent="0.2">
      <c r="B77" s="32">
        <f t="shared" si="9"/>
        <v>60</v>
      </c>
      <c r="C77" s="35" t="str">
        <f>IF(ISNUMBER(Daten!B75),Daten!D75,"")</f>
        <v/>
      </c>
      <c r="D77" s="35" t="str">
        <f t="shared" si="15"/>
        <v/>
      </c>
      <c r="E77" s="35" t="str">
        <f>IF(ISNUMBER(Daten!D75),1,"")</f>
        <v/>
      </c>
      <c r="F77" s="53" t="str">
        <f>IF(ISNUMBER(Daten!E75),Daten!E75,"")</f>
        <v/>
      </c>
      <c r="G77" s="35" t="str">
        <f t="shared" si="10"/>
        <v/>
      </c>
      <c r="H77" s="56" t="str">
        <f t="shared" si="11"/>
        <v/>
      </c>
      <c r="I77" s="36" t="str">
        <f t="shared" si="12"/>
        <v/>
      </c>
      <c r="J77" s="37" t="str">
        <f t="shared" si="5"/>
        <v/>
      </c>
      <c r="K77" s="9"/>
      <c r="L77" s="3" t="str">
        <f t="shared" si="13"/>
        <v/>
      </c>
      <c r="M77" s="3" t="str">
        <f t="shared" si="14"/>
        <v/>
      </c>
      <c r="N77" t="str">
        <f t="shared" si="7"/>
        <v/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G77" s="7"/>
      <c r="AH77" s="7"/>
      <c r="AI77" s="7"/>
      <c r="AJ77" s="3"/>
      <c r="AK77" s="3"/>
      <c r="AL77" s="8"/>
      <c r="AN77" s="8"/>
    </row>
    <row r="78" spans="2:40" x14ac:dyDescent="0.2">
      <c r="B78" s="32">
        <f t="shared" si="9"/>
        <v>61</v>
      </c>
      <c r="C78" s="35" t="str">
        <f>IF(ISNUMBER(Daten!B76),Daten!D76,"")</f>
        <v/>
      </c>
      <c r="D78" s="35" t="str">
        <f t="shared" si="15"/>
        <v/>
      </c>
      <c r="E78" s="35" t="str">
        <f>IF(ISNUMBER(Daten!D76),1,"")</f>
        <v/>
      </c>
      <c r="F78" s="53" t="str">
        <f>IF(ISNUMBER(Daten!E76),Daten!E76,"")</f>
        <v/>
      </c>
      <c r="G78" s="35" t="str">
        <f t="shared" si="10"/>
        <v/>
      </c>
      <c r="H78" s="56" t="str">
        <f t="shared" si="11"/>
        <v/>
      </c>
      <c r="I78" s="36" t="str">
        <f t="shared" si="12"/>
        <v/>
      </c>
      <c r="J78" s="37" t="str">
        <f t="shared" si="5"/>
        <v/>
      </c>
      <c r="K78" s="9"/>
      <c r="L78" s="3" t="str">
        <f t="shared" si="13"/>
        <v/>
      </c>
      <c r="M78" s="3" t="str">
        <f t="shared" si="14"/>
        <v/>
      </c>
      <c r="N78" t="str">
        <f t="shared" si="7"/>
        <v/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G78" s="7"/>
      <c r="AH78" s="7"/>
      <c r="AI78" s="7"/>
      <c r="AJ78" s="3"/>
      <c r="AK78" s="3"/>
      <c r="AL78" s="8"/>
      <c r="AN78" s="8"/>
    </row>
    <row r="79" spans="2:40" x14ac:dyDescent="0.2">
      <c r="B79" s="32">
        <f t="shared" si="9"/>
        <v>62</v>
      </c>
      <c r="C79" s="35" t="str">
        <f>IF(ISNUMBER(Daten!B77),Daten!D77,"")</f>
        <v/>
      </c>
      <c r="D79" s="35" t="str">
        <f t="shared" si="15"/>
        <v/>
      </c>
      <c r="E79" s="35" t="str">
        <f>IF(ISNUMBER(Daten!D77),1,"")</f>
        <v/>
      </c>
      <c r="F79" s="53" t="str">
        <f>IF(ISNUMBER(Daten!E77),Daten!E77,"")</f>
        <v/>
      </c>
      <c r="G79" s="35" t="str">
        <f t="shared" si="10"/>
        <v/>
      </c>
      <c r="H79" s="56" t="str">
        <f t="shared" si="11"/>
        <v/>
      </c>
      <c r="I79" s="36" t="str">
        <f t="shared" si="12"/>
        <v/>
      </c>
      <c r="J79" s="37" t="str">
        <f t="shared" si="5"/>
        <v/>
      </c>
      <c r="K79" s="9"/>
      <c r="L79" s="3" t="str">
        <f t="shared" si="13"/>
        <v/>
      </c>
      <c r="M79" s="3" t="str">
        <f t="shared" si="14"/>
        <v/>
      </c>
      <c r="N79" t="str">
        <f t="shared" si="7"/>
        <v/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G79" s="7"/>
      <c r="AH79" s="7"/>
      <c r="AI79" s="7"/>
      <c r="AJ79" s="3"/>
      <c r="AK79" s="3"/>
      <c r="AL79" s="8"/>
      <c r="AN79" s="8"/>
    </row>
    <row r="80" spans="2:40" x14ac:dyDescent="0.2">
      <c r="B80" s="32">
        <f t="shared" si="9"/>
        <v>63</v>
      </c>
      <c r="C80" s="35" t="str">
        <f>IF(ISNUMBER(Daten!B78),Daten!D78,"")</f>
        <v/>
      </c>
      <c r="D80" s="35" t="str">
        <f t="shared" si="15"/>
        <v/>
      </c>
      <c r="E80" s="35" t="str">
        <f>IF(ISNUMBER(Daten!D78),1,"")</f>
        <v/>
      </c>
      <c r="F80" s="53" t="str">
        <f>IF(ISNUMBER(Daten!E78),Daten!E78,"")</f>
        <v/>
      </c>
      <c r="G80" s="35" t="str">
        <f t="shared" si="10"/>
        <v/>
      </c>
      <c r="H80" s="56" t="str">
        <f t="shared" si="11"/>
        <v/>
      </c>
      <c r="I80" s="36" t="str">
        <f t="shared" si="12"/>
        <v/>
      </c>
      <c r="J80" s="37" t="str">
        <f t="shared" si="5"/>
        <v/>
      </c>
      <c r="K80" s="9"/>
      <c r="L80" s="3" t="str">
        <f t="shared" si="13"/>
        <v/>
      </c>
      <c r="M80" s="3" t="str">
        <f t="shared" si="14"/>
        <v/>
      </c>
      <c r="N80" t="str">
        <f t="shared" si="7"/>
        <v/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G80" s="7"/>
      <c r="AH80" s="7"/>
      <c r="AI80" s="7"/>
      <c r="AJ80" s="3"/>
      <c r="AK80" s="3"/>
      <c r="AL80" s="8"/>
      <c r="AN80" s="8"/>
    </row>
    <row r="81" spans="2:40" x14ac:dyDescent="0.2">
      <c r="B81" s="32">
        <f t="shared" si="9"/>
        <v>64</v>
      </c>
      <c r="C81" s="35" t="str">
        <f>IF(ISNUMBER(Daten!B79),Daten!D79,"")</f>
        <v/>
      </c>
      <c r="D81" s="35" t="str">
        <f t="shared" si="15"/>
        <v/>
      </c>
      <c r="E81" s="35" t="str">
        <f>IF(ISNUMBER(Daten!D79),1,"")</f>
        <v/>
      </c>
      <c r="F81" s="53" t="str">
        <f>IF(ISNUMBER(Daten!E79),Daten!E79,"")</f>
        <v/>
      </c>
      <c r="G81" s="35" t="str">
        <f t="shared" si="10"/>
        <v/>
      </c>
      <c r="H81" s="56" t="str">
        <f t="shared" si="11"/>
        <v/>
      </c>
      <c r="I81" s="36" t="str">
        <f t="shared" si="12"/>
        <v/>
      </c>
      <c r="J81" s="37" t="str">
        <f t="shared" si="5"/>
        <v/>
      </c>
      <c r="K81" s="9"/>
      <c r="L81" s="3" t="str">
        <f t="shared" si="13"/>
        <v/>
      </c>
      <c r="M81" s="3" t="str">
        <f t="shared" si="14"/>
        <v/>
      </c>
      <c r="N81" t="str">
        <f t="shared" si="7"/>
        <v/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G81" s="7"/>
      <c r="AH81" s="7"/>
      <c r="AI81" s="7"/>
      <c r="AJ81" s="3"/>
      <c r="AK81" s="3"/>
      <c r="AL81" s="8"/>
      <c r="AN81" s="8"/>
    </row>
    <row r="82" spans="2:40" x14ac:dyDescent="0.2">
      <c r="B82" s="32">
        <f t="shared" ref="B82:B117" si="16">B81+1</f>
        <v>65</v>
      </c>
      <c r="C82" s="35" t="str">
        <f>IF(ISNUMBER(Daten!B80),Daten!D80,"")</f>
        <v/>
      </c>
      <c r="D82" s="35" t="str">
        <f t="shared" si="15"/>
        <v/>
      </c>
      <c r="E82" s="35" t="str">
        <f>IF(ISNUMBER(Daten!D80),1,"")</f>
        <v/>
      </c>
      <c r="F82" s="53" t="str">
        <f>IF(ISNUMBER(Daten!E80),Daten!E80,"")</f>
        <v/>
      </c>
      <c r="G82" s="35" t="str">
        <f t="shared" ref="G82:G113" si="17">IF(ISNUMBER(C82),G81-E82-F82,"")</f>
        <v/>
      </c>
      <c r="H82" s="56" t="str">
        <f t="shared" ref="H82:H113" si="18">IF(ISNUMBER(C82),(1+G$17-I81)/(1+G82+E82),"")</f>
        <v/>
      </c>
      <c r="I82" s="36" t="str">
        <f t="shared" ref="I82:I113" si="19">IF(ISNUMBER(C82),I81+(E82*H82),"")</f>
        <v/>
      </c>
      <c r="J82" s="37" t="str">
        <f t="shared" si="5"/>
        <v/>
      </c>
      <c r="K82" s="9"/>
      <c r="L82" s="3" t="str">
        <f t="shared" ref="L82:L117" si="20">IF(ISNUMBER(C82),LN(LN(1/(1-J82))),"")</f>
        <v/>
      </c>
      <c r="M82" s="3" t="str">
        <f t="shared" si="14"/>
        <v/>
      </c>
      <c r="N82" t="str">
        <f t="shared" si="7"/>
        <v/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G82" s="7"/>
      <c r="AH82" s="7"/>
      <c r="AI82" s="7"/>
      <c r="AJ82" s="3"/>
      <c r="AK82" s="3"/>
      <c r="AL82" s="8"/>
      <c r="AN82" s="8"/>
    </row>
    <row r="83" spans="2:40" x14ac:dyDescent="0.2">
      <c r="B83" s="32">
        <f t="shared" si="16"/>
        <v>66</v>
      </c>
      <c r="C83" s="35" t="str">
        <f>IF(ISNUMBER(Daten!B81),Daten!D81,"")</f>
        <v/>
      </c>
      <c r="D83" s="35" t="str">
        <f t="shared" si="15"/>
        <v/>
      </c>
      <c r="E83" s="35" t="str">
        <f>IF(ISNUMBER(Daten!D81),1,"")</f>
        <v/>
      </c>
      <c r="F83" s="53" t="str">
        <f>IF(ISNUMBER(Daten!E81),Daten!E81,"")</f>
        <v/>
      </c>
      <c r="G83" s="35" t="str">
        <f t="shared" si="17"/>
        <v/>
      </c>
      <c r="H83" s="56" t="str">
        <f t="shared" si="18"/>
        <v/>
      </c>
      <c r="I83" s="36" t="str">
        <f t="shared" si="19"/>
        <v/>
      </c>
      <c r="J83" s="37" t="str">
        <f t="shared" ref="J83:J117" si="21">IF(ISNUMBER(C83),BETAINV(0.5,I83,$G$17-I83+1),"")</f>
        <v/>
      </c>
      <c r="K83" s="9"/>
      <c r="L83" s="3" t="str">
        <f t="shared" si="20"/>
        <v/>
      </c>
      <c r="M83" s="3" t="str">
        <f t="shared" ref="M83:M117" si="22">IF(ISNUMBER(D83),LN(D83),"")</f>
        <v/>
      </c>
      <c r="N83" t="str">
        <f t="shared" ref="N83:N117" si="23">IF(ISNUMBER(L83),L83^2,"")</f>
        <v/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G83" s="7"/>
      <c r="AH83" s="7"/>
      <c r="AI83" s="7"/>
      <c r="AJ83" s="3"/>
      <c r="AK83" s="3"/>
      <c r="AL83" s="8"/>
      <c r="AN83" s="8"/>
    </row>
    <row r="84" spans="2:40" x14ac:dyDescent="0.2">
      <c r="B84" s="32">
        <f t="shared" si="16"/>
        <v>67</v>
      </c>
      <c r="C84" s="35" t="str">
        <f>IF(ISNUMBER(Daten!B82),Daten!D82,"")</f>
        <v/>
      </c>
      <c r="D84" s="35" t="str">
        <f t="shared" si="15"/>
        <v/>
      </c>
      <c r="E84" s="35" t="str">
        <f>IF(ISNUMBER(Daten!D82),1,"")</f>
        <v/>
      </c>
      <c r="F84" s="53" t="str">
        <f>IF(ISNUMBER(Daten!E82),Daten!E82,"")</f>
        <v/>
      </c>
      <c r="G84" s="35" t="str">
        <f t="shared" si="17"/>
        <v/>
      </c>
      <c r="H84" s="56" t="str">
        <f t="shared" si="18"/>
        <v/>
      </c>
      <c r="I84" s="36" t="str">
        <f t="shared" si="19"/>
        <v/>
      </c>
      <c r="J84" s="37" t="str">
        <f t="shared" si="21"/>
        <v/>
      </c>
      <c r="K84" s="9"/>
      <c r="L84" s="3" t="str">
        <f t="shared" si="20"/>
        <v/>
      </c>
      <c r="M84" s="3" t="str">
        <f t="shared" si="22"/>
        <v/>
      </c>
      <c r="N84" t="str">
        <f t="shared" si="23"/>
        <v/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G84" s="7"/>
      <c r="AH84" s="7"/>
      <c r="AI84" s="7"/>
      <c r="AJ84" s="3"/>
      <c r="AK84" s="3"/>
      <c r="AL84" s="8"/>
      <c r="AN84" s="8"/>
    </row>
    <row r="85" spans="2:40" x14ac:dyDescent="0.2">
      <c r="B85" s="32">
        <f t="shared" si="16"/>
        <v>68</v>
      </c>
      <c r="C85" s="35" t="str">
        <f>IF(ISNUMBER(Daten!B83),Daten!D83,"")</f>
        <v/>
      </c>
      <c r="D85" s="35" t="str">
        <f t="shared" ref="D85:D116" si="24">IF(ISNUMBER(C85),C85-D$17,"")</f>
        <v/>
      </c>
      <c r="E85" s="35" t="str">
        <f>IF(ISNUMBER(Daten!D83),1,"")</f>
        <v/>
      </c>
      <c r="F85" s="53" t="str">
        <f>IF(ISNUMBER(Daten!E83),Daten!E83,"")</f>
        <v/>
      </c>
      <c r="G85" s="35" t="str">
        <f t="shared" si="17"/>
        <v/>
      </c>
      <c r="H85" s="56" t="str">
        <f t="shared" si="18"/>
        <v/>
      </c>
      <c r="I85" s="36" t="str">
        <f t="shared" si="19"/>
        <v/>
      </c>
      <c r="J85" s="37" t="str">
        <f t="shared" si="21"/>
        <v/>
      </c>
      <c r="K85" s="9"/>
      <c r="L85" s="3" t="str">
        <f t="shared" si="20"/>
        <v/>
      </c>
      <c r="M85" s="3" t="str">
        <f t="shared" si="22"/>
        <v/>
      </c>
      <c r="N85" t="str">
        <f t="shared" si="23"/>
        <v/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G85" s="7"/>
      <c r="AH85" s="7"/>
      <c r="AI85" s="7"/>
      <c r="AJ85" s="3"/>
      <c r="AK85" s="3"/>
      <c r="AL85" s="8"/>
      <c r="AN85" s="8"/>
    </row>
    <row r="86" spans="2:40" x14ac:dyDescent="0.2">
      <c r="B86" s="32">
        <f t="shared" si="16"/>
        <v>69</v>
      </c>
      <c r="C86" s="35" t="str">
        <f>IF(ISNUMBER(Daten!B84),Daten!D84,"")</f>
        <v/>
      </c>
      <c r="D86" s="35" t="str">
        <f t="shared" si="24"/>
        <v/>
      </c>
      <c r="E86" s="35" t="str">
        <f>IF(ISNUMBER(Daten!D84),1,"")</f>
        <v/>
      </c>
      <c r="F86" s="53" t="str">
        <f>IF(ISNUMBER(Daten!E84),Daten!E84,"")</f>
        <v/>
      </c>
      <c r="G86" s="35" t="str">
        <f t="shared" si="17"/>
        <v/>
      </c>
      <c r="H86" s="56" t="str">
        <f t="shared" si="18"/>
        <v/>
      </c>
      <c r="I86" s="36" t="str">
        <f t="shared" si="19"/>
        <v/>
      </c>
      <c r="J86" s="37" t="str">
        <f t="shared" si="21"/>
        <v/>
      </c>
      <c r="K86" s="9"/>
      <c r="L86" s="3" t="str">
        <f t="shared" si="20"/>
        <v/>
      </c>
      <c r="M86" s="3" t="str">
        <f t="shared" si="22"/>
        <v/>
      </c>
      <c r="N86" t="str">
        <f t="shared" si="23"/>
        <v/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G86" s="7"/>
      <c r="AH86" s="7"/>
      <c r="AI86" s="7"/>
      <c r="AJ86" s="3"/>
      <c r="AK86" s="3"/>
      <c r="AL86" s="8"/>
      <c r="AN86" s="8"/>
    </row>
    <row r="87" spans="2:40" x14ac:dyDescent="0.2">
      <c r="B87" s="32">
        <f t="shared" si="16"/>
        <v>70</v>
      </c>
      <c r="C87" s="35" t="str">
        <f>IF(ISNUMBER(Daten!B85),Daten!D85,"")</f>
        <v/>
      </c>
      <c r="D87" s="35" t="str">
        <f t="shared" si="24"/>
        <v/>
      </c>
      <c r="E87" s="35" t="str">
        <f>IF(ISNUMBER(Daten!D85),1,"")</f>
        <v/>
      </c>
      <c r="F87" s="53" t="str">
        <f>IF(ISNUMBER(Daten!E85),Daten!E85,"")</f>
        <v/>
      </c>
      <c r="G87" s="35" t="str">
        <f t="shared" si="17"/>
        <v/>
      </c>
      <c r="H87" s="56" t="str">
        <f t="shared" si="18"/>
        <v/>
      </c>
      <c r="I87" s="36" t="str">
        <f t="shared" si="19"/>
        <v/>
      </c>
      <c r="J87" s="37" t="str">
        <f t="shared" si="21"/>
        <v/>
      </c>
      <c r="K87" s="9"/>
      <c r="L87" s="3" t="str">
        <f t="shared" si="20"/>
        <v/>
      </c>
      <c r="M87" s="3" t="str">
        <f t="shared" si="22"/>
        <v/>
      </c>
      <c r="N87" t="str">
        <f t="shared" si="23"/>
        <v/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G87" s="7"/>
      <c r="AH87" s="7"/>
      <c r="AI87" s="7"/>
      <c r="AJ87" s="3"/>
      <c r="AK87" s="3"/>
      <c r="AL87" s="8"/>
      <c r="AN87" s="8"/>
    </row>
    <row r="88" spans="2:40" x14ac:dyDescent="0.2">
      <c r="B88" s="32">
        <f t="shared" si="16"/>
        <v>71</v>
      </c>
      <c r="C88" s="35" t="str">
        <f>IF(ISNUMBER(Daten!B86),Daten!D86,"")</f>
        <v/>
      </c>
      <c r="D88" s="35" t="str">
        <f t="shared" si="24"/>
        <v/>
      </c>
      <c r="E88" s="35" t="str">
        <f>IF(ISNUMBER(Daten!D86),1,"")</f>
        <v/>
      </c>
      <c r="F88" s="53" t="str">
        <f>IF(ISNUMBER(Daten!E86),Daten!E86,"")</f>
        <v/>
      </c>
      <c r="G88" s="35" t="str">
        <f t="shared" si="17"/>
        <v/>
      </c>
      <c r="H88" s="56" t="str">
        <f t="shared" si="18"/>
        <v/>
      </c>
      <c r="I88" s="36" t="str">
        <f t="shared" si="19"/>
        <v/>
      </c>
      <c r="J88" s="37" t="str">
        <f t="shared" si="21"/>
        <v/>
      </c>
      <c r="K88" s="9"/>
      <c r="L88" s="3" t="str">
        <f t="shared" si="20"/>
        <v/>
      </c>
      <c r="M88" s="3" t="str">
        <f t="shared" si="22"/>
        <v/>
      </c>
      <c r="N88" t="str">
        <f t="shared" si="23"/>
        <v/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G88" s="7"/>
      <c r="AH88" s="7"/>
      <c r="AI88" s="7"/>
      <c r="AJ88" s="3"/>
      <c r="AK88" s="3"/>
      <c r="AL88" s="8"/>
      <c r="AN88" s="8"/>
    </row>
    <row r="89" spans="2:40" x14ac:dyDescent="0.2">
      <c r="B89" s="32">
        <f t="shared" si="16"/>
        <v>72</v>
      </c>
      <c r="C89" s="35" t="str">
        <f>IF(ISNUMBER(Daten!B87),Daten!D87,"")</f>
        <v/>
      </c>
      <c r="D89" s="35" t="str">
        <f t="shared" si="24"/>
        <v/>
      </c>
      <c r="E89" s="35" t="str">
        <f>IF(ISNUMBER(Daten!D87),1,"")</f>
        <v/>
      </c>
      <c r="F89" s="53" t="str">
        <f>IF(ISNUMBER(Daten!E87),Daten!E87,"")</f>
        <v/>
      </c>
      <c r="G89" s="35" t="str">
        <f t="shared" si="17"/>
        <v/>
      </c>
      <c r="H89" s="56" t="str">
        <f t="shared" si="18"/>
        <v/>
      </c>
      <c r="I89" s="36" t="str">
        <f t="shared" si="19"/>
        <v/>
      </c>
      <c r="J89" s="37" t="str">
        <f t="shared" si="21"/>
        <v/>
      </c>
      <c r="K89" s="9"/>
      <c r="L89" s="3" t="str">
        <f t="shared" si="20"/>
        <v/>
      </c>
      <c r="M89" s="3" t="str">
        <f t="shared" si="22"/>
        <v/>
      </c>
      <c r="N89" t="str">
        <f t="shared" si="23"/>
        <v/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G89" s="7"/>
      <c r="AH89" s="7"/>
      <c r="AI89" s="7"/>
      <c r="AJ89" s="3"/>
      <c r="AK89" s="3"/>
      <c r="AL89" s="8"/>
      <c r="AN89" s="8"/>
    </row>
    <row r="90" spans="2:40" x14ac:dyDescent="0.2">
      <c r="B90" s="32">
        <f t="shared" si="16"/>
        <v>73</v>
      </c>
      <c r="C90" s="35" t="str">
        <f>IF(ISNUMBER(Daten!B88),Daten!D88,"")</f>
        <v/>
      </c>
      <c r="D90" s="35" t="str">
        <f t="shared" si="24"/>
        <v/>
      </c>
      <c r="E90" s="35" t="str">
        <f>IF(ISNUMBER(Daten!D88),1,"")</f>
        <v/>
      </c>
      <c r="F90" s="53" t="str">
        <f>IF(ISNUMBER(Daten!E88),Daten!E88,"")</f>
        <v/>
      </c>
      <c r="G90" s="35" t="str">
        <f t="shared" si="17"/>
        <v/>
      </c>
      <c r="H90" s="56" t="str">
        <f t="shared" si="18"/>
        <v/>
      </c>
      <c r="I90" s="36" t="str">
        <f t="shared" si="19"/>
        <v/>
      </c>
      <c r="J90" s="37" t="str">
        <f t="shared" si="21"/>
        <v/>
      </c>
      <c r="K90" s="9"/>
      <c r="L90" s="3" t="str">
        <f t="shared" si="20"/>
        <v/>
      </c>
      <c r="M90" s="3" t="str">
        <f t="shared" si="22"/>
        <v/>
      </c>
      <c r="N90" t="str">
        <f t="shared" si="23"/>
        <v/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G90" s="7"/>
      <c r="AH90" s="7"/>
      <c r="AI90" s="7"/>
      <c r="AJ90" s="3"/>
      <c r="AK90" s="3"/>
      <c r="AL90" s="8"/>
      <c r="AN90" s="8"/>
    </row>
    <row r="91" spans="2:40" x14ac:dyDescent="0.2">
      <c r="B91" s="32">
        <f t="shared" si="16"/>
        <v>74</v>
      </c>
      <c r="C91" s="35" t="str">
        <f>IF(ISNUMBER(Daten!B89),Daten!D89,"")</f>
        <v/>
      </c>
      <c r="D91" s="35" t="str">
        <f t="shared" si="24"/>
        <v/>
      </c>
      <c r="E91" s="35" t="str">
        <f>IF(ISNUMBER(Daten!D89),1,"")</f>
        <v/>
      </c>
      <c r="F91" s="53" t="str">
        <f>IF(ISNUMBER(Daten!E89),Daten!E89,"")</f>
        <v/>
      </c>
      <c r="G91" s="35" t="str">
        <f t="shared" si="17"/>
        <v/>
      </c>
      <c r="H91" s="56" t="str">
        <f t="shared" si="18"/>
        <v/>
      </c>
      <c r="I91" s="36" t="str">
        <f t="shared" si="19"/>
        <v/>
      </c>
      <c r="J91" s="37" t="str">
        <f t="shared" si="21"/>
        <v/>
      </c>
      <c r="K91" s="9"/>
      <c r="L91" s="3" t="str">
        <f t="shared" si="20"/>
        <v/>
      </c>
      <c r="M91" s="3" t="str">
        <f t="shared" si="22"/>
        <v/>
      </c>
      <c r="N91" t="str">
        <f t="shared" si="23"/>
        <v/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G91" s="7"/>
      <c r="AH91" s="7"/>
      <c r="AI91" s="7"/>
      <c r="AJ91" s="3"/>
      <c r="AK91" s="3"/>
      <c r="AL91" s="8"/>
      <c r="AN91" s="8"/>
    </row>
    <row r="92" spans="2:40" x14ac:dyDescent="0.2">
      <c r="B92" s="32">
        <f t="shared" si="16"/>
        <v>75</v>
      </c>
      <c r="C92" s="35" t="str">
        <f>IF(ISNUMBER(Daten!B90),Daten!D90,"")</f>
        <v/>
      </c>
      <c r="D92" s="35" t="str">
        <f t="shared" si="24"/>
        <v/>
      </c>
      <c r="E92" s="35" t="str">
        <f>IF(ISNUMBER(Daten!D90),1,"")</f>
        <v/>
      </c>
      <c r="F92" s="53" t="str">
        <f>IF(ISNUMBER(Daten!E90),Daten!E90,"")</f>
        <v/>
      </c>
      <c r="G92" s="35" t="str">
        <f t="shared" si="17"/>
        <v/>
      </c>
      <c r="H92" s="56" t="str">
        <f t="shared" si="18"/>
        <v/>
      </c>
      <c r="I92" s="36" t="str">
        <f t="shared" si="19"/>
        <v/>
      </c>
      <c r="J92" s="37" t="str">
        <f t="shared" si="21"/>
        <v/>
      </c>
      <c r="K92" s="9"/>
      <c r="L92" s="3" t="str">
        <f t="shared" si="20"/>
        <v/>
      </c>
      <c r="M92" s="3" t="str">
        <f t="shared" si="22"/>
        <v/>
      </c>
      <c r="N92" t="str">
        <f t="shared" si="23"/>
        <v/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G92" s="7"/>
      <c r="AH92" s="7"/>
      <c r="AI92" s="7"/>
      <c r="AJ92" s="3"/>
      <c r="AK92" s="3"/>
      <c r="AL92" s="8"/>
      <c r="AN92" s="8"/>
    </row>
    <row r="93" spans="2:40" x14ac:dyDescent="0.2">
      <c r="B93" s="32">
        <f t="shared" si="16"/>
        <v>76</v>
      </c>
      <c r="C93" s="35" t="str">
        <f>IF(ISNUMBER(Daten!B91),Daten!D91,"")</f>
        <v/>
      </c>
      <c r="D93" s="35" t="str">
        <f t="shared" si="24"/>
        <v/>
      </c>
      <c r="E93" s="35" t="str">
        <f>IF(ISNUMBER(Daten!D91),1,"")</f>
        <v/>
      </c>
      <c r="F93" s="53" t="str">
        <f>IF(ISNUMBER(Daten!E91),Daten!E91,"")</f>
        <v/>
      </c>
      <c r="G93" s="35" t="str">
        <f t="shared" si="17"/>
        <v/>
      </c>
      <c r="H93" s="56" t="str">
        <f t="shared" si="18"/>
        <v/>
      </c>
      <c r="I93" s="36" t="str">
        <f t="shared" si="19"/>
        <v/>
      </c>
      <c r="J93" s="37" t="str">
        <f t="shared" si="21"/>
        <v/>
      </c>
      <c r="K93" s="9"/>
      <c r="L93" s="3" t="str">
        <f t="shared" si="20"/>
        <v/>
      </c>
      <c r="M93" s="3" t="str">
        <f t="shared" si="22"/>
        <v/>
      </c>
      <c r="N93" t="str">
        <f t="shared" si="23"/>
        <v/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G93" s="7"/>
      <c r="AH93" s="7"/>
      <c r="AI93" s="7"/>
      <c r="AJ93" s="3"/>
      <c r="AK93" s="3"/>
      <c r="AL93" s="8"/>
      <c r="AN93" s="8"/>
    </row>
    <row r="94" spans="2:40" x14ac:dyDescent="0.2">
      <c r="B94" s="32">
        <f t="shared" si="16"/>
        <v>77</v>
      </c>
      <c r="C94" s="35" t="str">
        <f>IF(ISNUMBER(Daten!B92),Daten!D92,"")</f>
        <v/>
      </c>
      <c r="D94" s="35" t="str">
        <f t="shared" si="24"/>
        <v/>
      </c>
      <c r="E94" s="35" t="str">
        <f>IF(ISNUMBER(Daten!D92),1,"")</f>
        <v/>
      </c>
      <c r="F94" s="53" t="str">
        <f>IF(ISNUMBER(Daten!E92),Daten!E92,"")</f>
        <v/>
      </c>
      <c r="G94" s="35" t="str">
        <f t="shared" si="17"/>
        <v/>
      </c>
      <c r="H94" s="56" t="str">
        <f t="shared" si="18"/>
        <v/>
      </c>
      <c r="I94" s="36" t="str">
        <f t="shared" si="19"/>
        <v/>
      </c>
      <c r="J94" s="37" t="str">
        <f t="shared" si="21"/>
        <v/>
      </c>
      <c r="K94" s="9"/>
      <c r="L94" s="3" t="str">
        <f t="shared" si="20"/>
        <v/>
      </c>
      <c r="M94" s="3" t="str">
        <f t="shared" si="22"/>
        <v/>
      </c>
      <c r="N94" t="str">
        <f t="shared" si="23"/>
        <v/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G94" s="7"/>
      <c r="AH94" s="7"/>
      <c r="AI94" s="7"/>
      <c r="AJ94" s="3"/>
      <c r="AK94" s="3"/>
      <c r="AL94" s="8"/>
      <c r="AN94" s="8"/>
    </row>
    <row r="95" spans="2:40" x14ac:dyDescent="0.2">
      <c r="B95" s="32">
        <f t="shared" si="16"/>
        <v>78</v>
      </c>
      <c r="C95" s="35" t="str">
        <f>IF(ISNUMBER(Daten!B93),Daten!D93,"")</f>
        <v/>
      </c>
      <c r="D95" s="35" t="str">
        <f t="shared" si="24"/>
        <v/>
      </c>
      <c r="E95" s="35" t="str">
        <f>IF(ISNUMBER(Daten!D93),1,"")</f>
        <v/>
      </c>
      <c r="F95" s="53" t="str">
        <f>IF(ISNUMBER(Daten!E93),Daten!E93,"")</f>
        <v/>
      </c>
      <c r="G95" s="35" t="str">
        <f t="shared" si="17"/>
        <v/>
      </c>
      <c r="H95" s="56" t="str">
        <f t="shared" si="18"/>
        <v/>
      </c>
      <c r="I95" s="36" t="str">
        <f t="shared" si="19"/>
        <v/>
      </c>
      <c r="J95" s="37" t="str">
        <f t="shared" si="21"/>
        <v/>
      </c>
      <c r="K95" s="9"/>
      <c r="L95" s="3" t="str">
        <f t="shared" si="20"/>
        <v/>
      </c>
      <c r="M95" s="3" t="str">
        <f t="shared" si="22"/>
        <v/>
      </c>
      <c r="N95" t="str">
        <f t="shared" si="23"/>
        <v/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G95" s="7"/>
      <c r="AH95" s="7"/>
      <c r="AI95" s="7"/>
      <c r="AJ95" s="3"/>
      <c r="AK95" s="3"/>
      <c r="AL95" s="8"/>
      <c r="AN95" s="8"/>
    </row>
    <row r="96" spans="2:40" x14ac:dyDescent="0.2">
      <c r="B96" s="32">
        <f t="shared" si="16"/>
        <v>79</v>
      </c>
      <c r="C96" s="35" t="str">
        <f>IF(ISNUMBER(Daten!B94),Daten!D94,"")</f>
        <v/>
      </c>
      <c r="D96" s="35" t="str">
        <f t="shared" si="24"/>
        <v/>
      </c>
      <c r="E96" s="35" t="str">
        <f>IF(ISNUMBER(Daten!D94),1,"")</f>
        <v/>
      </c>
      <c r="F96" s="53" t="str">
        <f>IF(ISNUMBER(Daten!E94),Daten!E94,"")</f>
        <v/>
      </c>
      <c r="G96" s="35" t="str">
        <f t="shared" si="17"/>
        <v/>
      </c>
      <c r="H96" s="56" t="str">
        <f t="shared" si="18"/>
        <v/>
      </c>
      <c r="I96" s="36" t="str">
        <f t="shared" si="19"/>
        <v/>
      </c>
      <c r="J96" s="37" t="str">
        <f t="shared" si="21"/>
        <v/>
      </c>
      <c r="K96" s="9"/>
      <c r="L96" s="3" t="str">
        <f t="shared" si="20"/>
        <v/>
      </c>
      <c r="M96" s="3" t="str">
        <f t="shared" si="22"/>
        <v/>
      </c>
      <c r="N96" t="str">
        <f t="shared" si="23"/>
        <v/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G96" s="7"/>
      <c r="AH96" s="7"/>
      <c r="AI96" s="7"/>
      <c r="AJ96" s="3"/>
      <c r="AK96" s="3"/>
      <c r="AL96" s="8"/>
      <c r="AN96" s="8"/>
    </row>
    <row r="97" spans="2:40" x14ac:dyDescent="0.2">
      <c r="B97" s="32">
        <f t="shared" si="16"/>
        <v>80</v>
      </c>
      <c r="C97" s="35" t="str">
        <f>IF(ISNUMBER(Daten!B95),Daten!D95,"")</f>
        <v/>
      </c>
      <c r="D97" s="35" t="str">
        <f t="shared" si="24"/>
        <v/>
      </c>
      <c r="E97" s="35" t="str">
        <f>IF(ISNUMBER(Daten!D95),1,"")</f>
        <v/>
      </c>
      <c r="F97" s="53" t="str">
        <f>IF(ISNUMBER(Daten!E95),Daten!E95,"")</f>
        <v/>
      </c>
      <c r="G97" s="35" t="str">
        <f t="shared" si="17"/>
        <v/>
      </c>
      <c r="H97" s="56" t="str">
        <f t="shared" si="18"/>
        <v/>
      </c>
      <c r="I97" s="36" t="str">
        <f t="shared" si="19"/>
        <v/>
      </c>
      <c r="J97" s="37" t="str">
        <f t="shared" si="21"/>
        <v/>
      </c>
      <c r="K97" s="9"/>
      <c r="L97" s="3" t="str">
        <f t="shared" si="20"/>
        <v/>
      </c>
      <c r="M97" s="3" t="str">
        <f t="shared" si="22"/>
        <v/>
      </c>
      <c r="N97" t="str">
        <f t="shared" si="23"/>
        <v/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G97" s="7"/>
      <c r="AH97" s="7"/>
      <c r="AI97" s="7"/>
      <c r="AJ97" s="3"/>
      <c r="AK97" s="3"/>
      <c r="AL97" s="8"/>
      <c r="AN97" s="8"/>
    </row>
    <row r="98" spans="2:40" x14ac:dyDescent="0.2">
      <c r="B98" s="32">
        <f t="shared" si="16"/>
        <v>81</v>
      </c>
      <c r="C98" s="35" t="str">
        <f>IF(ISNUMBER(Daten!B96),Daten!D96,"")</f>
        <v/>
      </c>
      <c r="D98" s="35" t="str">
        <f t="shared" si="24"/>
        <v/>
      </c>
      <c r="E98" s="35" t="str">
        <f>IF(ISNUMBER(Daten!D96),1,"")</f>
        <v/>
      </c>
      <c r="F98" s="53" t="str">
        <f>IF(ISNUMBER(Daten!E96),Daten!E96,"")</f>
        <v/>
      </c>
      <c r="G98" s="35" t="str">
        <f t="shared" si="17"/>
        <v/>
      </c>
      <c r="H98" s="56" t="str">
        <f t="shared" si="18"/>
        <v/>
      </c>
      <c r="I98" s="36" t="str">
        <f t="shared" si="19"/>
        <v/>
      </c>
      <c r="J98" s="37" t="str">
        <f t="shared" si="21"/>
        <v/>
      </c>
      <c r="K98" s="9"/>
      <c r="L98" s="3" t="str">
        <f t="shared" si="20"/>
        <v/>
      </c>
      <c r="M98" s="3" t="str">
        <f t="shared" si="22"/>
        <v/>
      </c>
      <c r="N98" t="str">
        <f t="shared" si="23"/>
        <v/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G98" s="7"/>
      <c r="AH98" s="7"/>
      <c r="AI98" s="7"/>
      <c r="AJ98" s="3"/>
      <c r="AK98" s="3"/>
      <c r="AL98" s="8"/>
      <c r="AN98" s="8"/>
    </row>
    <row r="99" spans="2:40" x14ac:dyDescent="0.2">
      <c r="B99" s="32">
        <f t="shared" si="16"/>
        <v>82</v>
      </c>
      <c r="C99" s="35" t="str">
        <f>IF(ISNUMBER(Daten!B97),Daten!D97,"")</f>
        <v/>
      </c>
      <c r="D99" s="35" t="str">
        <f t="shared" si="24"/>
        <v/>
      </c>
      <c r="E99" s="35" t="str">
        <f>IF(ISNUMBER(Daten!D97),1,"")</f>
        <v/>
      </c>
      <c r="F99" s="53" t="str">
        <f>IF(ISNUMBER(Daten!E97),Daten!E97,"")</f>
        <v/>
      </c>
      <c r="G99" s="35" t="str">
        <f t="shared" si="17"/>
        <v/>
      </c>
      <c r="H99" s="56" t="str">
        <f t="shared" si="18"/>
        <v/>
      </c>
      <c r="I99" s="36" t="str">
        <f t="shared" si="19"/>
        <v/>
      </c>
      <c r="J99" s="37" t="str">
        <f t="shared" si="21"/>
        <v/>
      </c>
      <c r="K99" s="9"/>
      <c r="L99" s="3" t="str">
        <f t="shared" si="20"/>
        <v/>
      </c>
      <c r="M99" s="3" t="str">
        <f t="shared" si="22"/>
        <v/>
      </c>
      <c r="N99" t="str">
        <f t="shared" si="23"/>
        <v/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G99" s="7"/>
      <c r="AH99" s="7"/>
      <c r="AI99" s="7"/>
      <c r="AJ99" s="3"/>
      <c r="AK99" s="3"/>
      <c r="AL99" s="8"/>
      <c r="AN99" s="8"/>
    </row>
    <row r="100" spans="2:40" x14ac:dyDescent="0.2">
      <c r="B100" s="32">
        <f t="shared" si="16"/>
        <v>83</v>
      </c>
      <c r="C100" s="35" t="str">
        <f>IF(ISNUMBER(Daten!B98),Daten!D98,"")</f>
        <v/>
      </c>
      <c r="D100" s="35" t="str">
        <f t="shared" si="24"/>
        <v/>
      </c>
      <c r="E100" s="35" t="str">
        <f>IF(ISNUMBER(Daten!D98),1,"")</f>
        <v/>
      </c>
      <c r="F100" s="53" t="str">
        <f>IF(ISNUMBER(Daten!E98),Daten!E98,"")</f>
        <v/>
      </c>
      <c r="G100" s="35" t="str">
        <f t="shared" si="17"/>
        <v/>
      </c>
      <c r="H100" s="56" t="str">
        <f t="shared" si="18"/>
        <v/>
      </c>
      <c r="I100" s="36" t="str">
        <f t="shared" si="19"/>
        <v/>
      </c>
      <c r="J100" s="37" t="str">
        <f t="shared" si="21"/>
        <v/>
      </c>
      <c r="K100" s="9"/>
      <c r="L100" s="3" t="str">
        <f t="shared" si="20"/>
        <v/>
      </c>
      <c r="M100" s="3" t="str">
        <f t="shared" si="22"/>
        <v/>
      </c>
      <c r="N100" t="str">
        <f t="shared" si="23"/>
        <v/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G100" s="7"/>
      <c r="AH100" s="7"/>
      <c r="AI100" s="7"/>
      <c r="AJ100" s="3"/>
      <c r="AK100" s="3"/>
      <c r="AL100" s="8"/>
      <c r="AN100" s="8"/>
    </row>
    <row r="101" spans="2:40" x14ac:dyDescent="0.2">
      <c r="B101" s="32">
        <f t="shared" si="16"/>
        <v>84</v>
      </c>
      <c r="C101" s="35" t="str">
        <f>IF(ISNUMBER(Daten!B99),Daten!D99,"")</f>
        <v/>
      </c>
      <c r="D101" s="35" t="str">
        <f t="shared" si="24"/>
        <v/>
      </c>
      <c r="E101" s="35" t="str">
        <f>IF(ISNUMBER(Daten!D99),1,"")</f>
        <v/>
      </c>
      <c r="F101" s="53" t="str">
        <f>IF(ISNUMBER(Daten!E99),Daten!E99,"")</f>
        <v/>
      </c>
      <c r="G101" s="35" t="str">
        <f t="shared" si="17"/>
        <v/>
      </c>
      <c r="H101" s="56" t="str">
        <f t="shared" si="18"/>
        <v/>
      </c>
      <c r="I101" s="36" t="str">
        <f t="shared" si="19"/>
        <v/>
      </c>
      <c r="J101" s="37" t="str">
        <f t="shared" si="21"/>
        <v/>
      </c>
      <c r="K101" s="9"/>
      <c r="L101" s="3" t="str">
        <f t="shared" si="20"/>
        <v/>
      </c>
      <c r="M101" s="3" t="str">
        <f t="shared" si="22"/>
        <v/>
      </c>
      <c r="N101" t="str">
        <f t="shared" si="23"/>
        <v/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G101" s="7"/>
      <c r="AH101" s="7"/>
      <c r="AI101" s="7"/>
      <c r="AJ101" s="3"/>
      <c r="AK101" s="3"/>
      <c r="AL101" s="8"/>
      <c r="AN101" s="8"/>
    </row>
    <row r="102" spans="2:40" x14ac:dyDescent="0.2">
      <c r="B102" s="32">
        <f t="shared" si="16"/>
        <v>85</v>
      </c>
      <c r="C102" s="35" t="str">
        <f>IF(ISNUMBER(Daten!B100),Daten!D100,"")</f>
        <v/>
      </c>
      <c r="D102" s="35" t="str">
        <f t="shared" si="24"/>
        <v/>
      </c>
      <c r="E102" s="35" t="str">
        <f>IF(ISNUMBER(Daten!D100),1,"")</f>
        <v/>
      </c>
      <c r="F102" s="53" t="str">
        <f>IF(ISNUMBER(Daten!E100),Daten!E100,"")</f>
        <v/>
      </c>
      <c r="G102" s="35" t="str">
        <f t="shared" si="17"/>
        <v/>
      </c>
      <c r="H102" s="56" t="str">
        <f t="shared" si="18"/>
        <v/>
      </c>
      <c r="I102" s="36" t="str">
        <f t="shared" si="19"/>
        <v/>
      </c>
      <c r="J102" s="37" t="str">
        <f t="shared" si="21"/>
        <v/>
      </c>
      <c r="K102" s="9"/>
      <c r="L102" s="3" t="str">
        <f t="shared" si="20"/>
        <v/>
      </c>
      <c r="M102" s="3" t="str">
        <f t="shared" si="22"/>
        <v/>
      </c>
      <c r="N102" t="str">
        <f t="shared" si="23"/>
        <v/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G102" s="7"/>
      <c r="AH102" s="7"/>
      <c r="AI102" s="7"/>
      <c r="AJ102" s="3"/>
      <c r="AK102" s="3"/>
      <c r="AL102" s="8"/>
      <c r="AN102" s="8"/>
    </row>
    <row r="103" spans="2:40" x14ac:dyDescent="0.2">
      <c r="B103" s="32">
        <f t="shared" si="16"/>
        <v>86</v>
      </c>
      <c r="C103" s="35" t="str">
        <f>IF(ISNUMBER(Daten!B101),Daten!D101,"")</f>
        <v/>
      </c>
      <c r="D103" s="35" t="str">
        <f t="shared" si="24"/>
        <v/>
      </c>
      <c r="E103" s="35" t="str">
        <f>IF(ISNUMBER(Daten!D101),1,"")</f>
        <v/>
      </c>
      <c r="F103" s="53" t="str">
        <f>IF(ISNUMBER(Daten!E101),Daten!E101,"")</f>
        <v/>
      </c>
      <c r="G103" s="35" t="str">
        <f t="shared" si="17"/>
        <v/>
      </c>
      <c r="H103" s="56" t="str">
        <f t="shared" si="18"/>
        <v/>
      </c>
      <c r="I103" s="36" t="str">
        <f t="shared" si="19"/>
        <v/>
      </c>
      <c r="J103" s="37" t="str">
        <f t="shared" si="21"/>
        <v/>
      </c>
      <c r="K103" s="9"/>
      <c r="L103" s="3" t="str">
        <f t="shared" si="20"/>
        <v/>
      </c>
      <c r="M103" s="3" t="str">
        <f t="shared" si="22"/>
        <v/>
      </c>
      <c r="N103" t="str">
        <f t="shared" si="23"/>
        <v/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G103" s="7"/>
      <c r="AH103" s="7"/>
      <c r="AI103" s="7"/>
      <c r="AJ103" s="3"/>
      <c r="AK103" s="3"/>
      <c r="AL103" s="8"/>
      <c r="AN103" s="8"/>
    </row>
    <row r="104" spans="2:40" x14ac:dyDescent="0.2">
      <c r="B104" s="32">
        <f t="shared" si="16"/>
        <v>87</v>
      </c>
      <c r="C104" s="35" t="str">
        <f>IF(ISNUMBER(Daten!B102),Daten!D102,"")</f>
        <v/>
      </c>
      <c r="D104" s="35" t="str">
        <f t="shared" si="24"/>
        <v/>
      </c>
      <c r="E104" s="35" t="str">
        <f>IF(ISNUMBER(Daten!D102),1,"")</f>
        <v/>
      </c>
      <c r="F104" s="53" t="str">
        <f>IF(ISNUMBER(Daten!E102),Daten!E102,"")</f>
        <v/>
      </c>
      <c r="G104" s="35" t="str">
        <f t="shared" si="17"/>
        <v/>
      </c>
      <c r="H104" s="56" t="str">
        <f t="shared" si="18"/>
        <v/>
      </c>
      <c r="I104" s="36" t="str">
        <f t="shared" si="19"/>
        <v/>
      </c>
      <c r="J104" s="37" t="str">
        <f t="shared" si="21"/>
        <v/>
      </c>
      <c r="K104" s="9"/>
      <c r="L104" s="3" t="str">
        <f t="shared" si="20"/>
        <v/>
      </c>
      <c r="M104" s="3" t="str">
        <f t="shared" si="22"/>
        <v/>
      </c>
      <c r="N104" t="str">
        <f t="shared" si="23"/>
        <v/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G104" s="7"/>
      <c r="AH104" s="7"/>
      <c r="AI104" s="7"/>
      <c r="AJ104" s="3"/>
      <c r="AK104" s="3"/>
      <c r="AL104" s="8"/>
      <c r="AN104" s="8"/>
    </row>
    <row r="105" spans="2:40" x14ac:dyDescent="0.2">
      <c r="B105" s="32">
        <f t="shared" si="16"/>
        <v>88</v>
      </c>
      <c r="C105" s="35" t="str">
        <f>IF(ISNUMBER(Daten!B103),Daten!D103,"")</f>
        <v/>
      </c>
      <c r="D105" s="35" t="str">
        <f t="shared" si="24"/>
        <v/>
      </c>
      <c r="E105" s="35" t="str">
        <f>IF(ISNUMBER(Daten!D103),1,"")</f>
        <v/>
      </c>
      <c r="F105" s="53" t="str">
        <f>IF(ISNUMBER(Daten!E103),Daten!E103,"")</f>
        <v/>
      </c>
      <c r="G105" s="35" t="str">
        <f t="shared" si="17"/>
        <v/>
      </c>
      <c r="H105" s="56" t="str">
        <f t="shared" si="18"/>
        <v/>
      </c>
      <c r="I105" s="36" t="str">
        <f t="shared" si="19"/>
        <v/>
      </c>
      <c r="J105" s="37" t="str">
        <f t="shared" si="21"/>
        <v/>
      </c>
      <c r="K105" s="9"/>
      <c r="L105" s="3" t="str">
        <f t="shared" si="20"/>
        <v/>
      </c>
      <c r="M105" s="3" t="str">
        <f t="shared" si="22"/>
        <v/>
      </c>
      <c r="N105" t="str">
        <f t="shared" si="23"/>
        <v/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G105" s="7"/>
      <c r="AH105" s="7"/>
      <c r="AI105" s="7"/>
      <c r="AJ105" s="3"/>
      <c r="AK105" s="3"/>
      <c r="AL105" s="8"/>
      <c r="AN105" s="8"/>
    </row>
    <row r="106" spans="2:40" x14ac:dyDescent="0.2">
      <c r="B106" s="32">
        <f t="shared" si="16"/>
        <v>89</v>
      </c>
      <c r="C106" s="35" t="str">
        <f>IF(ISNUMBER(Daten!B104),Daten!D104,"")</f>
        <v/>
      </c>
      <c r="D106" s="35" t="str">
        <f t="shared" si="24"/>
        <v/>
      </c>
      <c r="E106" s="35" t="str">
        <f>IF(ISNUMBER(Daten!D104),1,"")</f>
        <v/>
      </c>
      <c r="F106" s="53" t="str">
        <f>IF(ISNUMBER(Daten!E104),Daten!E104,"")</f>
        <v/>
      </c>
      <c r="G106" s="35" t="str">
        <f t="shared" si="17"/>
        <v/>
      </c>
      <c r="H106" s="56" t="str">
        <f t="shared" si="18"/>
        <v/>
      </c>
      <c r="I106" s="36" t="str">
        <f t="shared" si="19"/>
        <v/>
      </c>
      <c r="J106" s="37" t="str">
        <f t="shared" si="21"/>
        <v/>
      </c>
      <c r="K106" s="9"/>
      <c r="L106" s="3" t="str">
        <f t="shared" si="20"/>
        <v/>
      </c>
      <c r="M106" s="3" t="str">
        <f t="shared" si="22"/>
        <v/>
      </c>
      <c r="N106" t="str">
        <f t="shared" si="23"/>
        <v/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G106" s="7"/>
      <c r="AH106" s="7"/>
      <c r="AI106" s="7"/>
      <c r="AJ106" s="3"/>
      <c r="AK106" s="3"/>
      <c r="AL106" s="8"/>
      <c r="AN106" s="8"/>
    </row>
    <row r="107" spans="2:40" x14ac:dyDescent="0.2">
      <c r="B107" s="32">
        <f t="shared" si="16"/>
        <v>90</v>
      </c>
      <c r="C107" s="35" t="str">
        <f>IF(ISNUMBER(Daten!B105),Daten!D105,"")</f>
        <v/>
      </c>
      <c r="D107" s="35" t="str">
        <f t="shared" si="24"/>
        <v/>
      </c>
      <c r="E107" s="35" t="str">
        <f>IF(ISNUMBER(Daten!D105),1,"")</f>
        <v/>
      </c>
      <c r="F107" s="53" t="str">
        <f>IF(ISNUMBER(Daten!E105),Daten!E105,"")</f>
        <v/>
      </c>
      <c r="G107" s="35" t="str">
        <f t="shared" si="17"/>
        <v/>
      </c>
      <c r="H107" s="56" t="str">
        <f t="shared" si="18"/>
        <v/>
      </c>
      <c r="I107" s="36" t="str">
        <f t="shared" si="19"/>
        <v/>
      </c>
      <c r="J107" s="37" t="str">
        <f t="shared" si="21"/>
        <v/>
      </c>
      <c r="K107" s="9"/>
      <c r="L107" s="3" t="str">
        <f t="shared" si="20"/>
        <v/>
      </c>
      <c r="M107" s="3" t="str">
        <f t="shared" si="22"/>
        <v/>
      </c>
      <c r="N107" t="str">
        <f t="shared" si="23"/>
        <v/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G107" s="7"/>
      <c r="AH107" s="7"/>
      <c r="AI107" s="7"/>
      <c r="AJ107" s="3"/>
      <c r="AK107" s="3"/>
      <c r="AL107" s="8"/>
      <c r="AN107" s="8"/>
    </row>
    <row r="108" spans="2:40" x14ac:dyDescent="0.2">
      <c r="B108" s="32">
        <f t="shared" si="16"/>
        <v>91</v>
      </c>
      <c r="C108" s="35" t="str">
        <f>IF(ISNUMBER(Daten!B106),Daten!D106,"")</f>
        <v/>
      </c>
      <c r="D108" s="35" t="str">
        <f t="shared" si="24"/>
        <v/>
      </c>
      <c r="E108" s="35" t="str">
        <f>IF(ISNUMBER(Daten!D106),1,"")</f>
        <v/>
      </c>
      <c r="F108" s="53" t="str">
        <f>IF(ISNUMBER(Daten!E106),Daten!E106,"")</f>
        <v/>
      </c>
      <c r="G108" s="35" t="str">
        <f t="shared" si="17"/>
        <v/>
      </c>
      <c r="H108" s="56" t="str">
        <f t="shared" si="18"/>
        <v/>
      </c>
      <c r="I108" s="36" t="str">
        <f t="shared" si="19"/>
        <v/>
      </c>
      <c r="J108" s="37" t="str">
        <f t="shared" si="21"/>
        <v/>
      </c>
      <c r="K108" s="9"/>
      <c r="L108" s="3" t="str">
        <f t="shared" si="20"/>
        <v/>
      </c>
      <c r="M108" s="3" t="str">
        <f t="shared" si="22"/>
        <v/>
      </c>
      <c r="N108" t="str">
        <f t="shared" si="23"/>
        <v/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G108" s="7"/>
      <c r="AH108" s="7"/>
      <c r="AI108" s="7"/>
      <c r="AJ108" s="3"/>
      <c r="AK108" s="3"/>
      <c r="AL108" s="8"/>
      <c r="AN108" s="8"/>
    </row>
    <row r="109" spans="2:40" x14ac:dyDescent="0.2">
      <c r="B109" s="32">
        <f t="shared" si="16"/>
        <v>92</v>
      </c>
      <c r="C109" s="35" t="str">
        <f>IF(ISNUMBER(Daten!B107),Daten!D107,"")</f>
        <v/>
      </c>
      <c r="D109" s="35" t="str">
        <f t="shared" si="24"/>
        <v/>
      </c>
      <c r="E109" s="35" t="str">
        <f>IF(ISNUMBER(Daten!D107),1,"")</f>
        <v/>
      </c>
      <c r="F109" s="53" t="str">
        <f>IF(ISNUMBER(Daten!E107),Daten!E107,"")</f>
        <v/>
      </c>
      <c r="G109" s="35" t="str">
        <f t="shared" si="17"/>
        <v/>
      </c>
      <c r="H109" s="56" t="str">
        <f t="shared" si="18"/>
        <v/>
      </c>
      <c r="I109" s="36" t="str">
        <f t="shared" si="19"/>
        <v/>
      </c>
      <c r="J109" s="37" t="str">
        <f t="shared" si="21"/>
        <v/>
      </c>
      <c r="K109" s="9"/>
      <c r="L109" s="3" t="str">
        <f t="shared" si="20"/>
        <v/>
      </c>
      <c r="M109" s="3" t="str">
        <f t="shared" si="22"/>
        <v/>
      </c>
      <c r="N109" t="str">
        <f t="shared" si="23"/>
        <v/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G109" s="7"/>
      <c r="AH109" s="7"/>
      <c r="AI109" s="7"/>
      <c r="AJ109" s="3"/>
      <c r="AK109" s="3"/>
      <c r="AL109" s="8"/>
      <c r="AN109" s="8"/>
    </row>
    <row r="110" spans="2:40" x14ac:dyDescent="0.2">
      <c r="B110" s="32">
        <f t="shared" si="16"/>
        <v>93</v>
      </c>
      <c r="C110" s="35" t="str">
        <f>IF(ISNUMBER(Daten!B108),Daten!D108,"")</f>
        <v/>
      </c>
      <c r="D110" s="35" t="str">
        <f t="shared" si="24"/>
        <v/>
      </c>
      <c r="E110" s="35" t="str">
        <f>IF(ISNUMBER(Daten!D108),1,"")</f>
        <v/>
      </c>
      <c r="F110" s="53" t="str">
        <f>IF(ISNUMBER(Daten!E108),Daten!E108,"")</f>
        <v/>
      </c>
      <c r="G110" s="35" t="str">
        <f t="shared" si="17"/>
        <v/>
      </c>
      <c r="H110" s="56" t="str">
        <f t="shared" si="18"/>
        <v/>
      </c>
      <c r="I110" s="36" t="str">
        <f t="shared" si="19"/>
        <v/>
      </c>
      <c r="J110" s="37" t="str">
        <f t="shared" si="21"/>
        <v/>
      </c>
      <c r="K110" s="9"/>
      <c r="L110" s="3" t="str">
        <f t="shared" si="20"/>
        <v/>
      </c>
      <c r="M110" s="3" t="str">
        <f t="shared" si="22"/>
        <v/>
      </c>
      <c r="N110" t="str">
        <f t="shared" si="23"/>
        <v/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G110" s="7"/>
      <c r="AH110" s="7"/>
      <c r="AI110" s="7"/>
      <c r="AJ110" s="3"/>
      <c r="AK110" s="3"/>
      <c r="AL110" s="8"/>
      <c r="AN110" s="8"/>
    </row>
    <row r="111" spans="2:40" x14ac:dyDescent="0.2">
      <c r="B111" s="32">
        <f t="shared" si="16"/>
        <v>94</v>
      </c>
      <c r="C111" s="35" t="str">
        <f>IF(ISNUMBER(Daten!B109),Daten!D109,"")</f>
        <v/>
      </c>
      <c r="D111" s="35" t="str">
        <f t="shared" si="24"/>
        <v/>
      </c>
      <c r="E111" s="35" t="str">
        <f>IF(ISNUMBER(Daten!D109),1,"")</f>
        <v/>
      </c>
      <c r="F111" s="53" t="str">
        <f>IF(ISNUMBER(Daten!E109),Daten!E109,"")</f>
        <v/>
      </c>
      <c r="G111" s="35" t="str">
        <f t="shared" si="17"/>
        <v/>
      </c>
      <c r="H111" s="56" t="str">
        <f t="shared" si="18"/>
        <v/>
      </c>
      <c r="I111" s="36" t="str">
        <f t="shared" si="19"/>
        <v/>
      </c>
      <c r="J111" s="37" t="str">
        <f t="shared" si="21"/>
        <v/>
      </c>
      <c r="K111" s="9"/>
      <c r="L111" s="3" t="str">
        <f t="shared" si="20"/>
        <v/>
      </c>
      <c r="M111" s="3" t="str">
        <f t="shared" si="22"/>
        <v/>
      </c>
      <c r="N111" t="str">
        <f t="shared" si="23"/>
        <v/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G111" s="7"/>
      <c r="AH111" s="7"/>
      <c r="AI111" s="7"/>
      <c r="AJ111" s="3"/>
      <c r="AK111" s="3"/>
      <c r="AL111" s="8"/>
      <c r="AN111" s="8"/>
    </row>
    <row r="112" spans="2:40" x14ac:dyDescent="0.2">
      <c r="B112" s="32">
        <f t="shared" si="16"/>
        <v>95</v>
      </c>
      <c r="C112" s="35" t="str">
        <f>IF(ISNUMBER(Daten!B110),Daten!D110,"")</f>
        <v/>
      </c>
      <c r="D112" s="35" t="str">
        <f t="shared" si="24"/>
        <v/>
      </c>
      <c r="E112" s="35" t="str">
        <f>IF(ISNUMBER(Daten!D110),1,"")</f>
        <v/>
      </c>
      <c r="F112" s="53" t="str">
        <f>IF(ISNUMBER(Daten!E110),Daten!E110,"")</f>
        <v/>
      </c>
      <c r="G112" s="35" t="str">
        <f t="shared" si="17"/>
        <v/>
      </c>
      <c r="H112" s="56" t="str">
        <f t="shared" si="18"/>
        <v/>
      </c>
      <c r="I112" s="36" t="str">
        <f t="shared" si="19"/>
        <v/>
      </c>
      <c r="J112" s="37" t="str">
        <f t="shared" si="21"/>
        <v/>
      </c>
      <c r="K112" s="9"/>
      <c r="L112" s="3" t="str">
        <f t="shared" si="20"/>
        <v/>
      </c>
      <c r="M112" s="3" t="str">
        <f t="shared" si="22"/>
        <v/>
      </c>
      <c r="N112" t="str">
        <f t="shared" si="23"/>
        <v/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G112" s="7"/>
      <c r="AH112" s="7"/>
      <c r="AI112" s="7"/>
      <c r="AJ112" s="3"/>
      <c r="AK112" s="3"/>
      <c r="AL112" s="8"/>
      <c r="AN112" s="8"/>
    </row>
    <row r="113" spans="2:40" x14ac:dyDescent="0.2">
      <c r="B113" s="32">
        <f t="shared" si="16"/>
        <v>96</v>
      </c>
      <c r="C113" s="35" t="str">
        <f>IF(ISNUMBER(Daten!B111),Daten!D111,"")</f>
        <v/>
      </c>
      <c r="D113" s="35" t="str">
        <f t="shared" si="24"/>
        <v/>
      </c>
      <c r="E113" s="35" t="str">
        <f>IF(ISNUMBER(Daten!D111),1,"")</f>
        <v/>
      </c>
      <c r="F113" s="53" t="str">
        <f>IF(ISNUMBER(Daten!E111),Daten!E111,"")</f>
        <v/>
      </c>
      <c r="G113" s="35" t="str">
        <f t="shared" si="17"/>
        <v/>
      </c>
      <c r="H113" s="56" t="str">
        <f t="shared" si="18"/>
        <v/>
      </c>
      <c r="I113" s="36" t="str">
        <f t="shared" si="19"/>
        <v/>
      </c>
      <c r="J113" s="37" t="str">
        <f t="shared" si="21"/>
        <v/>
      </c>
      <c r="K113" s="9"/>
      <c r="L113" s="3" t="str">
        <f t="shared" si="20"/>
        <v/>
      </c>
      <c r="M113" s="3" t="str">
        <f t="shared" si="22"/>
        <v/>
      </c>
      <c r="N113" t="str">
        <f t="shared" si="23"/>
        <v/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G113" s="7"/>
      <c r="AH113" s="7"/>
      <c r="AI113" s="7"/>
      <c r="AJ113" s="3"/>
      <c r="AK113" s="3"/>
      <c r="AL113" s="8"/>
      <c r="AN113" s="8"/>
    </row>
    <row r="114" spans="2:40" x14ac:dyDescent="0.2">
      <c r="B114" s="32">
        <f t="shared" si="16"/>
        <v>97</v>
      </c>
      <c r="C114" s="35" t="str">
        <f>IF(ISNUMBER(Daten!B112),Daten!D112,"")</f>
        <v/>
      </c>
      <c r="D114" s="35" t="str">
        <f t="shared" si="24"/>
        <v/>
      </c>
      <c r="E114" s="35" t="str">
        <f>IF(ISNUMBER(Daten!D112),1,"")</f>
        <v/>
      </c>
      <c r="F114" s="53" t="str">
        <f>IF(ISNUMBER(Daten!E112),Daten!E112,"")</f>
        <v/>
      </c>
      <c r="G114" s="35" t="str">
        <f>IF(ISNUMBER(C114),G113-E114-F114,"")</f>
        <v/>
      </c>
      <c r="H114" s="56" t="str">
        <f>IF(ISNUMBER(C114),(1+G$17-I113)/(1+G114+E114),"")</f>
        <v/>
      </c>
      <c r="I114" s="36" t="str">
        <f>IF(ISNUMBER(C114),I113+(E114*H114),"")</f>
        <v/>
      </c>
      <c r="J114" s="37" t="str">
        <f t="shared" si="21"/>
        <v/>
      </c>
      <c r="K114" s="9"/>
      <c r="L114" s="3" t="str">
        <f t="shared" si="20"/>
        <v/>
      </c>
      <c r="M114" s="3" t="str">
        <f t="shared" si="22"/>
        <v/>
      </c>
      <c r="N114" t="str">
        <f t="shared" si="23"/>
        <v/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G114" s="7"/>
      <c r="AH114" s="7"/>
      <c r="AI114" s="7"/>
      <c r="AJ114" s="3"/>
      <c r="AK114" s="3"/>
      <c r="AL114" s="8"/>
      <c r="AN114" s="8"/>
    </row>
    <row r="115" spans="2:40" x14ac:dyDescent="0.2">
      <c r="B115" s="32">
        <f t="shared" si="16"/>
        <v>98</v>
      </c>
      <c r="C115" s="35" t="str">
        <f>IF(ISNUMBER(Daten!B113),Daten!D113,"")</f>
        <v/>
      </c>
      <c r="D115" s="35" t="str">
        <f t="shared" si="24"/>
        <v/>
      </c>
      <c r="E115" s="35" t="str">
        <f>IF(ISNUMBER(Daten!D113),1,"")</f>
        <v/>
      </c>
      <c r="F115" s="53" t="str">
        <f>IF(ISNUMBER(Daten!E113),Daten!E113,"")</f>
        <v/>
      </c>
      <c r="G115" s="35" t="str">
        <f>IF(ISNUMBER(C115),G114-E115-F115,"")</f>
        <v/>
      </c>
      <c r="H115" s="56" t="str">
        <f>IF(ISNUMBER(C115),(1+G$17-I114)/(1+G115+E115),"")</f>
        <v/>
      </c>
      <c r="I115" s="36" t="str">
        <f>IF(ISNUMBER(C115),I114+(E115*H115),"")</f>
        <v/>
      </c>
      <c r="J115" s="37" t="str">
        <f t="shared" si="21"/>
        <v/>
      </c>
      <c r="K115" s="9"/>
      <c r="L115" s="3" t="str">
        <f t="shared" si="20"/>
        <v/>
      </c>
      <c r="M115" s="3" t="str">
        <f t="shared" si="22"/>
        <v/>
      </c>
      <c r="N115" t="str">
        <f t="shared" si="23"/>
        <v/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G115" s="7"/>
      <c r="AH115" s="7"/>
      <c r="AI115" s="7"/>
      <c r="AJ115" s="3"/>
      <c r="AK115" s="3"/>
      <c r="AL115" s="8"/>
      <c r="AN115" s="8"/>
    </row>
    <row r="116" spans="2:40" x14ac:dyDescent="0.2">
      <c r="B116" s="32">
        <f t="shared" si="16"/>
        <v>99</v>
      </c>
      <c r="C116" s="35" t="str">
        <f>IF(ISNUMBER(Daten!B114),Daten!D114,"")</f>
        <v/>
      </c>
      <c r="D116" s="35" t="str">
        <f t="shared" si="24"/>
        <v/>
      </c>
      <c r="E116" s="35" t="str">
        <f>IF(ISNUMBER(Daten!D114),1,"")</f>
        <v/>
      </c>
      <c r="F116" s="53" t="str">
        <f>IF(ISNUMBER(Daten!E114),Daten!E114,"")</f>
        <v/>
      </c>
      <c r="G116" s="35" t="str">
        <f>IF(ISNUMBER(C116),G115-E116-F116,"")</f>
        <v/>
      </c>
      <c r="H116" s="56" t="str">
        <f>IF(ISNUMBER(C116),(1+G$17-I115)/(1+G116+E116),"")</f>
        <v/>
      </c>
      <c r="I116" s="36" t="str">
        <f>IF(ISNUMBER(C116),I115+(E116*H116),"")</f>
        <v/>
      </c>
      <c r="J116" s="37" t="str">
        <f t="shared" si="21"/>
        <v/>
      </c>
      <c r="K116" s="9"/>
      <c r="L116" s="3" t="str">
        <f t="shared" si="20"/>
        <v/>
      </c>
      <c r="M116" s="3" t="str">
        <f t="shared" si="22"/>
        <v/>
      </c>
      <c r="N116" t="str">
        <f t="shared" si="23"/>
        <v/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G116" s="7"/>
      <c r="AH116" s="7"/>
      <c r="AI116" s="7"/>
      <c r="AJ116" s="3"/>
      <c r="AK116" s="3"/>
      <c r="AL116" s="8"/>
      <c r="AN116" s="8"/>
    </row>
    <row r="117" spans="2:40" ht="13.5" thickBot="1" x14ac:dyDescent="0.25">
      <c r="B117" s="38">
        <f t="shared" si="16"/>
        <v>100</v>
      </c>
      <c r="C117" s="39" t="str">
        <f>IF(ISNUMBER(Daten!B115),Daten!D115,"")</f>
        <v/>
      </c>
      <c r="D117" s="39" t="str">
        <f>IF(ISNUMBER(C117),C117-D$17,"")</f>
        <v/>
      </c>
      <c r="E117" s="39" t="str">
        <f>IF(ISNUMBER(Daten!D115),1,"")</f>
        <v/>
      </c>
      <c r="F117" s="54" t="str">
        <f>IF(ISNUMBER(Daten!E115),Daten!E115,"")</f>
        <v/>
      </c>
      <c r="G117" s="39" t="str">
        <f>IF(ISNUMBER(C117),G116-E117-F117,"")</f>
        <v/>
      </c>
      <c r="H117" s="57" t="str">
        <f>IF(ISNUMBER(C117),(1+G$17-I116)/(1+G117+E117),"")</f>
        <v/>
      </c>
      <c r="I117" s="40" t="str">
        <f>IF(ISNUMBER(C117),I116+(E117*H117),"")</f>
        <v/>
      </c>
      <c r="J117" s="41" t="str">
        <f t="shared" si="21"/>
        <v/>
      </c>
      <c r="K117" s="9"/>
      <c r="L117" s="3" t="str">
        <f t="shared" si="20"/>
        <v/>
      </c>
      <c r="M117" s="3" t="str">
        <f t="shared" si="22"/>
        <v/>
      </c>
      <c r="N117" t="str">
        <f t="shared" si="23"/>
        <v/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G117" s="7"/>
      <c r="AH117" s="7"/>
      <c r="AI117" s="7"/>
      <c r="AJ117" s="3"/>
      <c r="AK117" s="3"/>
      <c r="AL117" s="8"/>
      <c r="AN117" s="8"/>
    </row>
  </sheetData>
  <mergeCells count="1">
    <mergeCell ref="B1:J1"/>
  </mergeCells>
  <phoneticPr fontId="0" type="noConversion"/>
  <dataValidations count="2">
    <dataValidation type="decimal" operator="lessThan" allowBlank="1" showInputMessage="1" showErrorMessage="1" errorTitle="Gültigkeitsprüfung:" error="Die Mindestlebensdauer kann nicht größer sein als die kleinste beobachtete Lebensdauer." sqref="D17">
      <formula1>C18</formula1>
    </dataValidation>
    <dataValidation allowBlank="1" showInputMessage="1" showErrorMessage="1" error="Die Mindestlebensdauer kann nicht größer sein als die kleinste beobachtete Lebensdauer." sqref="D18"/>
  </dataValidations>
  <printOptions gridLines="1" gridLinesSet="0"/>
  <pageMargins left="0.78740157480314965" right="0.78740157480314965" top="0.98425196850393704" bottom="0.98425196850393704" header="0.51181102362204722" footer="0.51181102362204722"/>
  <pageSetup paperSize="9" orientation="portrait" horizontalDpi="360" verticalDpi="360" r:id="rId1"/>
  <headerFooter alignWithMargins="0">
    <oddHeader>&amp;A</oddHeader>
    <oddFooter>Seite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30" r:id="rId4">
          <objectPr defaultSize="0" r:id="rId5">
            <anchor moveWithCells="1">
              <from>
                <xdr:col>1</xdr:col>
                <xdr:colOff>466725</xdr:colOff>
                <xdr:row>3</xdr:row>
                <xdr:rowOff>0</xdr:rowOff>
              </from>
              <to>
                <xdr:col>1</xdr:col>
                <xdr:colOff>590550</xdr:colOff>
                <xdr:row>3</xdr:row>
                <xdr:rowOff>190500</xdr:rowOff>
              </to>
            </anchor>
          </objectPr>
        </oleObject>
      </mc:Choice>
      <mc:Fallback>
        <oleObject progId="Equation.3" shapeId="1030" r:id="rId4"/>
      </mc:Fallback>
    </mc:AlternateContent>
    <mc:AlternateContent xmlns:mc="http://schemas.openxmlformats.org/markup-compatibility/2006">
      <mc:Choice Requires="x14">
        <oleObject progId="Equation.3" shapeId="1032" r:id="rId6">
          <objectPr defaultSize="0" r:id="rId7">
            <anchor moveWithCells="1">
              <from>
                <xdr:col>1</xdr:col>
                <xdr:colOff>466725</xdr:colOff>
                <xdr:row>3</xdr:row>
                <xdr:rowOff>190500</xdr:rowOff>
              </from>
              <to>
                <xdr:col>1</xdr:col>
                <xdr:colOff>628650</xdr:colOff>
                <xdr:row>5</xdr:row>
                <xdr:rowOff>19050</xdr:rowOff>
              </to>
            </anchor>
          </objectPr>
        </oleObject>
      </mc:Choice>
      <mc:Fallback>
        <oleObject progId="Equation.3" shapeId="1032" r:id="rId6"/>
      </mc:Fallback>
    </mc:AlternateContent>
    <mc:AlternateContent xmlns:mc="http://schemas.openxmlformats.org/markup-compatibility/2006">
      <mc:Choice Requires="x14">
        <oleObject progId="Equation.3" shapeId="1033" r:id="rId8">
          <objectPr defaultSize="0" r:id="rId9">
            <anchor moveWithCells="1">
              <from>
                <xdr:col>1</xdr:col>
                <xdr:colOff>466725</xdr:colOff>
                <xdr:row>5</xdr:row>
                <xdr:rowOff>0</xdr:rowOff>
              </from>
              <to>
                <xdr:col>1</xdr:col>
                <xdr:colOff>619125</xdr:colOff>
                <xdr:row>6</xdr:row>
                <xdr:rowOff>0</xdr:rowOff>
              </to>
            </anchor>
          </objectPr>
        </oleObject>
      </mc:Choice>
      <mc:Fallback>
        <oleObject progId="Equation.3" shapeId="1033" r:id="rId8"/>
      </mc:Fallback>
    </mc:AlternateContent>
    <mc:AlternateContent xmlns:mc="http://schemas.openxmlformats.org/markup-compatibility/2006">
      <mc:Choice Requires="x14">
        <oleObject progId="Equation.3" shapeId="1034" r:id="rId10">
          <objectPr defaultSize="0" r:id="rId11">
            <anchor moveWithCells="1">
              <from>
                <xdr:col>1</xdr:col>
                <xdr:colOff>466725</xdr:colOff>
                <xdr:row>6</xdr:row>
                <xdr:rowOff>0</xdr:rowOff>
              </from>
              <to>
                <xdr:col>1</xdr:col>
                <xdr:colOff>666750</xdr:colOff>
                <xdr:row>7</xdr:row>
                <xdr:rowOff>0</xdr:rowOff>
              </to>
            </anchor>
          </objectPr>
        </oleObject>
      </mc:Choice>
      <mc:Fallback>
        <oleObject progId="Equation.3" shapeId="1034" r:id="rId10"/>
      </mc:Fallback>
    </mc:AlternateContent>
    <mc:AlternateContent xmlns:mc="http://schemas.openxmlformats.org/markup-compatibility/2006">
      <mc:Choice Requires="x14">
        <oleObject progId="Equation.3" shapeId="1040" r:id="rId12">
          <objectPr defaultSize="0" r:id="rId13">
            <anchor moveWithCells="1">
              <from>
                <xdr:col>1</xdr:col>
                <xdr:colOff>466725</xdr:colOff>
                <xdr:row>6</xdr:row>
                <xdr:rowOff>190500</xdr:rowOff>
              </from>
              <to>
                <xdr:col>1</xdr:col>
                <xdr:colOff>657225</xdr:colOff>
                <xdr:row>8</xdr:row>
                <xdr:rowOff>19050</xdr:rowOff>
              </to>
            </anchor>
          </objectPr>
        </oleObject>
      </mc:Choice>
      <mc:Fallback>
        <oleObject progId="Equation.3" shapeId="1040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r:id="rId15">
            <anchor moveWithCells="1">
              <from>
                <xdr:col>1</xdr:col>
                <xdr:colOff>466725</xdr:colOff>
                <xdr:row>7</xdr:row>
                <xdr:rowOff>180975</xdr:rowOff>
              </from>
              <to>
                <xdr:col>1</xdr:col>
                <xdr:colOff>666750</xdr:colOff>
                <xdr:row>9</xdr:row>
                <xdr:rowOff>28575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4" r:id="rId16">
          <objectPr defaultSize="0" r:id="rId17">
            <anchor moveWithCells="1">
              <from>
                <xdr:col>1</xdr:col>
                <xdr:colOff>466725</xdr:colOff>
                <xdr:row>9</xdr:row>
                <xdr:rowOff>171450</xdr:rowOff>
              </from>
              <to>
                <xdr:col>1</xdr:col>
                <xdr:colOff>695325</xdr:colOff>
                <xdr:row>11</xdr:row>
                <xdr:rowOff>28575</xdr:rowOff>
              </to>
            </anchor>
          </objectPr>
        </oleObject>
      </mc:Choice>
      <mc:Fallback>
        <oleObject progId="Equation.3" shapeId="1044" r:id="rId16"/>
      </mc:Fallback>
    </mc:AlternateContent>
    <mc:AlternateContent xmlns:mc="http://schemas.openxmlformats.org/markup-compatibility/2006">
      <mc:Choice Requires="x14">
        <oleObject progId="Equation.3" shapeId="1046" r:id="rId18">
          <objectPr defaultSize="0" r:id="rId19">
            <anchor moveWithCells="1">
              <from>
                <xdr:col>1</xdr:col>
                <xdr:colOff>466725</xdr:colOff>
                <xdr:row>8</xdr:row>
                <xdr:rowOff>171450</xdr:rowOff>
              </from>
              <to>
                <xdr:col>1</xdr:col>
                <xdr:colOff>695325</xdr:colOff>
                <xdr:row>10</xdr:row>
                <xdr:rowOff>28575</xdr:rowOff>
              </to>
            </anchor>
          </objectPr>
        </oleObject>
      </mc:Choice>
      <mc:Fallback>
        <oleObject progId="Equation.3" shapeId="1046" r:id="rId1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9"/>
  <sheetViews>
    <sheetView topLeftCell="A8" workbookViewId="0">
      <selection activeCell="B11" sqref="B11"/>
    </sheetView>
  </sheetViews>
  <sheetFormatPr baseColWidth="10" defaultRowHeight="12.75" x14ac:dyDescent="0.2"/>
  <cols>
    <col min="1" max="1" width="30.7109375" customWidth="1"/>
  </cols>
  <sheetData>
    <row r="1" spans="1:11" x14ac:dyDescent="0.2">
      <c r="A1" t="s">
        <v>57</v>
      </c>
      <c r="B1">
        <f>IF(ISNUMBER(Auswerteblatt!C18),INT(LOG(MIN(Auswerteblatt!C18:D18,IF(Auswerteblatt!D17&gt;0,Auswerteblatt!D17,1E+255)))),"")</f>
        <v>4</v>
      </c>
    </row>
    <row r="2" spans="1:11" x14ac:dyDescent="0.2">
      <c r="A2" t="s">
        <v>56</v>
      </c>
      <c r="B2">
        <f>LOG(Daten!B4)</f>
        <v>0</v>
      </c>
    </row>
    <row r="3" spans="1:11" x14ac:dyDescent="0.2">
      <c r="A3" t="s">
        <v>52</v>
      </c>
      <c r="B3">
        <f>B1+B2</f>
        <v>4</v>
      </c>
      <c r="C3" s="30"/>
    </row>
    <row r="4" spans="1:11" x14ac:dyDescent="0.2">
      <c r="A4" t="s">
        <v>60</v>
      </c>
      <c r="B4">
        <f>Auswerteblatt!C4</f>
        <v>1.0369653258459159</v>
      </c>
      <c r="C4" s="20"/>
    </row>
    <row r="5" spans="1:11" x14ac:dyDescent="0.2">
      <c r="A5" t="s">
        <v>58</v>
      </c>
      <c r="B5">
        <f>Auswerteblatt!C7/10^B1</f>
        <v>58.319138391568487</v>
      </c>
    </row>
    <row r="6" spans="1:11" x14ac:dyDescent="0.2">
      <c r="A6" t="s">
        <v>59</v>
      </c>
      <c r="B6">
        <f>Auswerteblatt!C6/10^B1</f>
        <v>68.319138391568487</v>
      </c>
    </row>
    <row r="7" spans="1:11" x14ac:dyDescent="0.2">
      <c r="A7" t="s">
        <v>61</v>
      </c>
      <c r="B7">
        <f>Auswerteblatt!D17/10^B1</f>
        <v>10</v>
      </c>
    </row>
    <row r="8" spans="1:11" x14ac:dyDescent="0.2">
      <c r="A8" t="s">
        <v>55</v>
      </c>
      <c r="B8" s="146">
        <f>10^I8</f>
        <v>1000</v>
      </c>
      <c r="C8">
        <f>MAX(B20:B119)</f>
        <v>122.99</v>
      </c>
      <c r="D8">
        <f>MAX(C20:C119)</f>
        <v>112.99</v>
      </c>
      <c r="E8">
        <f>B6</f>
        <v>68.319138391568487</v>
      </c>
      <c r="F8">
        <f>B5</f>
        <v>58.319138391568487</v>
      </c>
      <c r="G8">
        <v>1000</v>
      </c>
      <c r="H8">
        <f>MAX(C8:G8)</f>
        <v>1000</v>
      </c>
      <c r="I8" s="3">
        <f>ROUNDUP(LOG(H8),0)</f>
        <v>3</v>
      </c>
    </row>
    <row r="9" spans="1:11" x14ac:dyDescent="0.2">
      <c r="A9" t="s">
        <v>54</v>
      </c>
      <c r="B9" s="2">
        <v>1</v>
      </c>
      <c r="I9" s="3"/>
    </row>
    <row r="10" spans="1:11" x14ac:dyDescent="0.2">
      <c r="A10" t="s">
        <v>64</v>
      </c>
      <c r="B10" s="2">
        <v>0.999</v>
      </c>
    </row>
    <row r="11" spans="1:11" ht="13.5" thickBot="1" x14ac:dyDescent="0.25">
      <c r="A11" t="s">
        <v>65</v>
      </c>
      <c r="B11" s="2">
        <v>-7</v>
      </c>
    </row>
    <row r="12" spans="1:11" x14ac:dyDescent="0.2">
      <c r="A12" t="s">
        <v>62</v>
      </c>
      <c r="B12" s="79">
        <f>IF(D12&gt;F12,F12,D12)</f>
        <v>376.03450206291342</v>
      </c>
      <c r="C12" s="80">
        <f>IF(D12&gt;F12,G12,E12)</f>
        <v>1.9326447339160653</v>
      </c>
      <c r="D12" s="24">
        <f>B5*(-LN(1-B10)^(1/B4))</f>
        <v>376.03450206291342</v>
      </c>
      <c r="E12" s="78">
        <f>LN(-LN(1-B10))</f>
        <v>1.9326447339160653</v>
      </c>
      <c r="F12" s="77">
        <f>B8</f>
        <v>1000</v>
      </c>
      <c r="G12" s="78">
        <f>B4*LN(F12/B5)</f>
        <v>2.9468739510335951</v>
      </c>
    </row>
    <row r="13" spans="1:11" ht="13.5" thickBot="1" x14ac:dyDescent="0.25">
      <c r="A13" t="s">
        <v>63</v>
      </c>
      <c r="B13" s="81">
        <f>IF(D13&lt;F13,F13,D13)</f>
        <v>1</v>
      </c>
      <c r="C13" s="82">
        <f>IF(D13&lt;F13,G13,E13)</f>
        <v>-4.216228752699962</v>
      </c>
      <c r="D13" s="24">
        <f>EXP(E13/B4+LN(B5))</f>
        <v>6.825282311053886E-2</v>
      </c>
      <c r="E13" s="78">
        <f>B11</f>
        <v>-7</v>
      </c>
      <c r="F13" s="76">
        <f>B9</f>
        <v>1</v>
      </c>
      <c r="G13" s="78">
        <f>B4*LN(F13/B5)</f>
        <v>-4.216228752699962</v>
      </c>
    </row>
    <row r="14" spans="1:11" x14ac:dyDescent="0.2">
      <c r="A14" t="s">
        <v>66</v>
      </c>
      <c r="B14" s="79">
        <f>IF(D14&gt;F14,F14,D14)</f>
        <v>386.03450206291342</v>
      </c>
      <c r="C14" s="80">
        <f>IF(D14&gt;F14,G14,E14)</f>
        <v>1.9326447339160653</v>
      </c>
      <c r="D14" s="83">
        <f>D12+B7</f>
        <v>386.03450206291342</v>
      </c>
      <c r="E14" s="78">
        <f>LN(-LN(1-0.999))</f>
        <v>1.9326447339160653</v>
      </c>
      <c r="F14" s="77">
        <f>B8</f>
        <v>1000</v>
      </c>
      <c r="G14" s="78">
        <f>B4*LN((F14-B7)/(B5))</f>
        <v>2.9364521012404086</v>
      </c>
      <c r="I14" s="3"/>
      <c r="K14" s="84"/>
    </row>
    <row r="15" spans="1:11" ht="13.5" thickBot="1" x14ac:dyDescent="0.25">
      <c r="A15" t="s">
        <v>67</v>
      </c>
      <c r="B15" s="85">
        <f>IF(D15&lt;F15,F15,D15)</f>
        <v>10.068252823110539</v>
      </c>
      <c r="C15" s="86">
        <f>IF(D15&lt;F15,G15,E15)</f>
        <v>-7</v>
      </c>
      <c r="D15" s="83">
        <f>D13+B7</f>
        <v>10.068252823110539</v>
      </c>
      <c r="E15" s="78">
        <f>B11</f>
        <v>-7</v>
      </c>
      <c r="F15" s="76">
        <f>B9</f>
        <v>1</v>
      </c>
      <c r="G15" s="78" t="e">
        <f>B4*LN((F15-B7)/B5)</f>
        <v>#NUM!</v>
      </c>
      <c r="I15" s="3"/>
      <c r="K15" s="84"/>
    </row>
    <row r="16" spans="1:11" x14ac:dyDescent="0.2">
      <c r="A16" s="79" t="str">
        <f>CONCATENATE("Lebensdauern t in ",C16,Daten!C4)</f>
        <v>Lebensdauern t in 10^4 Druckwechsel</v>
      </c>
      <c r="B16" s="87"/>
      <c r="C16" s="80" t="str">
        <f>IF(B3=0,"",IF(B3&lt;=3,CONCATENATE(10^B3," "),CONCATENATE("10^",B3," ")))</f>
        <v xml:space="preserve">10^4 </v>
      </c>
      <c r="J16" s="3"/>
      <c r="K16" s="84"/>
    </row>
    <row r="17" spans="1:16" ht="13.5" thickBot="1" x14ac:dyDescent="0.25">
      <c r="A17" s="81" t="str">
        <f>IF(B6=B5,"",CONCATENATE("transformierte Lebensdauern (t – ",B7,") in ",C16,Daten!C4))</f>
        <v>transformierte Lebensdauern (t – 10) in 10^4 Druckwechsel</v>
      </c>
      <c r="B17" s="88"/>
      <c r="C17" s="82"/>
    </row>
    <row r="18" spans="1:16" x14ac:dyDescent="0.2">
      <c r="A18" s="148" t="s">
        <v>142</v>
      </c>
      <c r="C18" s="1" t="s">
        <v>31</v>
      </c>
      <c r="D18" s="22"/>
      <c r="E18" s="144" t="s">
        <v>144</v>
      </c>
    </row>
    <row r="19" spans="1:16" ht="13.5" thickBot="1" x14ac:dyDescent="0.25">
      <c r="A19" s="149" t="str">
        <f>IF(ISNUMBER(E19),IF(E19=0,"–",IF(E19=1,"Der kleinste Wert geht in die Berechnung ein, wird aber im Lebensdauernetz nicht abgebildet.",CONCATENATE("Die kleinsten ",E19," Werte gehen in die Berechnung ein, werden aber im Lebensdauernetz nicht abgebildet."))),"–")</f>
        <v>–</v>
      </c>
      <c r="B19" s="74" t="s">
        <v>53</v>
      </c>
      <c r="C19" s="74" t="s">
        <v>51</v>
      </c>
      <c r="D19" s="75" t="s">
        <v>141</v>
      </c>
      <c r="E19" s="147">
        <f>SUM(E20:E119)</f>
        <v>0</v>
      </c>
      <c r="F19" s="158" t="s">
        <v>4</v>
      </c>
      <c r="G19" s="158"/>
      <c r="H19" s="159"/>
      <c r="I19" s="157" t="s">
        <v>5</v>
      </c>
      <c r="J19" s="158"/>
      <c r="K19" s="159"/>
      <c r="L19" s="155" t="s">
        <v>6</v>
      </c>
      <c r="M19" s="160"/>
      <c r="N19" s="157" t="s">
        <v>9</v>
      </c>
      <c r="O19" s="158"/>
      <c r="P19" s="159"/>
    </row>
    <row r="20" spans="1:16" x14ac:dyDescent="0.2">
      <c r="B20" s="73">
        <f>IF(ISNUMBER(Auswerteblatt!C18),Auswerteblatt!C18/10^$B$1,"")</f>
        <v>11.7385</v>
      </c>
      <c r="C20" s="22">
        <f>IF(ISNUMBER(Auswerteblatt!C18),Auswerteblatt!D18/10^$B$1,"")</f>
        <v>1.7384999999999999</v>
      </c>
      <c r="D20" s="25">
        <f>IF(ISNUMBER(Auswerteblatt!C18),Auswerteblatt!L18,"")</f>
        <v>-3.5445667509296084</v>
      </c>
      <c r="E20" s="146">
        <f>IF(D20&lt;$B$11,1,0)</f>
        <v>0</v>
      </c>
      <c r="F20" s="11">
        <v>0.1</v>
      </c>
      <c r="G20" s="3">
        <f t="shared" ref="G20:G39" si="0">LN(-LN(1-$F20/100))</f>
        <v>-6.9072550705237159</v>
      </c>
      <c r="H20" s="12">
        <f t="shared" ref="H20:H39" si="1">G20</f>
        <v>-6.9072550705237159</v>
      </c>
      <c r="I20" s="11">
        <v>0</v>
      </c>
      <c r="J20" s="20">
        <f>(EXP(K20/$B$4)*$B$5+$B$7)</f>
        <v>10.068252823110539</v>
      </c>
      <c r="K20" s="12">
        <f>$C$15+($C$14-$C$15)/20*I20</f>
        <v>-7</v>
      </c>
      <c r="L20" s="18">
        <f>Auswerteblatt!$C$6/10^B1</f>
        <v>68.319138391568487</v>
      </c>
      <c r="M20" s="22">
        <f>B11</f>
        <v>-7</v>
      </c>
      <c r="N20" s="18">
        <v>0</v>
      </c>
      <c r="O20" s="22">
        <f t="shared" ref="O20:O58" si="2">$B$8</f>
        <v>1000</v>
      </c>
      <c r="P20" s="25">
        <f t="shared" ref="P20:P58" si="3">$B$11+N20*LN(10)</f>
        <v>-7</v>
      </c>
    </row>
    <row r="21" spans="1:16" x14ac:dyDescent="0.2">
      <c r="B21" s="11">
        <f>IF(ISNUMBER(Auswerteblatt!C19),Auswerteblatt!C19/10^$B$1,B20)</f>
        <v>15.550800000000001</v>
      </c>
      <c r="C21">
        <f>IF(ISNUMBER(Auswerteblatt!C19),Auswerteblatt!D19/10^$B$1,C20)</f>
        <v>5.5507999999999997</v>
      </c>
      <c r="D21" s="12">
        <f>IF(ISNUMBER(Auswerteblatt!C19),Auswerteblatt!L19,D20)</f>
        <v>-2.6388379735035676</v>
      </c>
      <c r="E21" s="146">
        <f t="shared" ref="E21:E84" si="4">IF(D21&lt;$B$11,1,0)</f>
        <v>0</v>
      </c>
      <c r="F21" s="11">
        <v>0.2</v>
      </c>
      <c r="G21" s="3">
        <f t="shared" si="0"/>
        <v>-6.2136072640874609</v>
      </c>
      <c r="H21" s="12">
        <f t="shared" si="1"/>
        <v>-6.2136072640874609</v>
      </c>
      <c r="I21" s="11">
        <f t="shared" ref="I21:I40" si="5">I20+1</f>
        <v>1</v>
      </c>
      <c r="J21" s="20">
        <f t="shared" ref="J21:J40" si="6">(EXP(K21/$B$4)*$B$5+$B$7)</f>
        <v>10.10499677826976</v>
      </c>
      <c r="K21" s="12">
        <f t="shared" ref="K21:K40" si="7">$C$15+($C$14-$C$15)/20*I21</f>
        <v>-6.5533677633041965</v>
      </c>
      <c r="L21" s="17">
        <f>Auswerteblatt!$C$6/10^B1</f>
        <v>68.319138391568487</v>
      </c>
      <c r="M21" s="23">
        <v>0</v>
      </c>
      <c r="N21" s="13">
        <v>0.1</v>
      </c>
      <c r="O21">
        <f t="shared" si="2"/>
        <v>1000</v>
      </c>
      <c r="P21" s="12">
        <f t="shared" si="3"/>
        <v>-6.7697414907005955</v>
      </c>
    </row>
    <row r="22" spans="1:16" x14ac:dyDescent="0.2">
      <c r="B22" s="11">
        <f>IF(ISNUMBER(Auswerteblatt!C20),Auswerteblatt!C20/10^$B$1,B21)</f>
        <v>17.484400000000001</v>
      </c>
      <c r="C22">
        <f>IF(ISNUMBER(Auswerteblatt!C20),Auswerteblatt!D20/10^$B$1,C21)</f>
        <v>7.4843999999999999</v>
      </c>
      <c r="D22" s="12">
        <f>IF(ISNUMBER(Auswerteblatt!C20),Auswerteblatt!L20,D21)</f>
        <v>-2.1508435771271244</v>
      </c>
      <c r="E22" s="146">
        <f t="shared" si="4"/>
        <v>0</v>
      </c>
      <c r="F22" s="11">
        <v>0.3</v>
      </c>
      <c r="G22" s="3">
        <f t="shared" si="0"/>
        <v>-5.8076411119319511</v>
      </c>
      <c r="H22" s="12">
        <f t="shared" si="1"/>
        <v>-5.8076411119319511</v>
      </c>
      <c r="I22" s="11">
        <f t="shared" si="5"/>
        <v>2</v>
      </c>
      <c r="J22" s="20">
        <f t="shared" si="6"/>
        <v>10.161521867442385</v>
      </c>
      <c r="K22" s="12">
        <f t="shared" si="7"/>
        <v>-6.1067355266083938</v>
      </c>
      <c r="N22" s="13">
        <v>0.2</v>
      </c>
      <c r="O22">
        <f t="shared" si="2"/>
        <v>1000</v>
      </c>
      <c r="P22" s="12">
        <f t="shared" si="3"/>
        <v>-6.539482981401191</v>
      </c>
    </row>
    <row r="23" spans="1:16" x14ac:dyDescent="0.2">
      <c r="B23" s="11">
        <f>IF(ISNUMBER(Auswerteblatt!C21),Auswerteblatt!C21/10^$B$1,B22)</f>
        <v>19.773399999999999</v>
      </c>
      <c r="C23">
        <f>IF(ISNUMBER(Auswerteblatt!C21),Auswerteblatt!D21/10^$B$1,C22)</f>
        <v>9.7734000000000005</v>
      </c>
      <c r="D23" s="12">
        <f>IF(ISNUMBER(Auswerteblatt!C21),Auswerteblatt!L21,D22)</f>
        <v>-1.8106154809403505</v>
      </c>
      <c r="E23" s="146">
        <f t="shared" si="4"/>
        <v>0</v>
      </c>
      <c r="F23" s="11">
        <v>0.5</v>
      </c>
      <c r="G23" s="3">
        <f t="shared" si="0"/>
        <v>-5.2958121425350253</v>
      </c>
      <c r="H23" s="12">
        <f t="shared" si="1"/>
        <v>-5.2958121425350253</v>
      </c>
      <c r="I23" s="11">
        <f t="shared" si="5"/>
        <v>3</v>
      </c>
      <c r="J23" s="20">
        <f t="shared" si="6"/>
        <v>10.248477277988915</v>
      </c>
      <c r="K23" s="12">
        <f t="shared" si="7"/>
        <v>-5.6601032899125903</v>
      </c>
      <c r="L23" s="155" t="s">
        <v>7</v>
      </c>
      <c r="M23" s="156"/>
      <c r="N23" s="13">
        <v>0.3</v>
      </c>
      <c r="O23">
        <f t="shared" si="2"/>
        <v>1000</v>
      </c>
      <c r="P23" s="12">
        <f t="shared" si="3"/>
        <v>-6.3092244721017865</v>
      </c>
    </row>
    <row r="24" spans="1:16" x14ac:dyDescent="0.2">
      <c r="B24" s="11">
        <f>IF(ISNUMBER(Auswerteblatt!C22),Auswerteblatt!C22/10^$B$1,B23)</f>
        <v>23.9329</v>
      </c>
      <c r="C24">
        <f>IF(ISNUMBER(Auswerteblatt!C22),Auswerteblatt!D22/10^$B$1,C23)</f>
        <v>13.9329</v>
      </c>
      <c r="D24" s="12">
        <f>IF(ISNUMBER(Auswerteblatt!C22),Auswerteblatt!L22,D23)</f>
        <v>-1.5341319533243423</v>
      </c>
      <c r="E24" s="146">
        <f t="shared" si="4"/>
        <v>0</v>
      </c>
      <c r="F24" s="11">
        <v>1</v>
      </c>
      <c r="G24" s="3">
        <f t="shared" si="0"/>
        <v>-4.6001492267765789</v>
      </c>
      <c r="H24" s="12">
        <f t="shared" si="1"/>
        <v>-4.6001492267765789</v>
      </c>
      <c r="I24" s="11">
        <f t="shared" si="5"/>
        <v>4</v>
      </c>
      <c r="J24" s="20">
        <f t="shared" si="6"/>
        <v>10.38224519474927</v>
      </c>
      <c r="K24" s="12">
        <f t="shared" si="7"/>
        <v>-5.2134710532167867</v>
      </c>
      <c r="L24" s="19">
        <f>IF(Auswerteblatt!D17&lt;=0,Auswerteblatt!C6,Auswerteblatt!D17)/10^B1</f>
        <v>10</v>
      </c>
      <c r="M24" s="24">
        <f>B11</f>
        <v>-7</v>
      </c>
      <c r="N24" s="13">
        <v>0.4</v>
      </c>
      <c r="O24">
        <f t="shared" si="2"/>
        <v>1000</v>
      </c>
      <c r="P24" s="12">
        <f t="shared" si="3"/>
        <v>-6.078965962802382</v>
      </c>
    </row>
    <row r="25" spans="1:16" x14ac:dyDescent="0.2">
      <c r="B25" s="11">
        <f>IF(ISNUMBER(Auswerteblatt!C23),Auswerteblatt!C23/10^$B$1,B24)</f>
        <v>24.818200000000001</v>
      </c>
      <c r="C25">
        <f>IF(ISNUMBER(Auswerteblatt!C23),Auswerteblatt!D23/10^$B$1,C24)</f>
        <v>14.818199999999999</v>
      </c>
      <c r="D25" s="12">
        <f>IF(ISNUMBER(Auswerteblatt!C23),Auswerteblatt!L23,D24)</f>
        <v>-1.3070458819905748</v>
      </c>
      <c r="E25" s="146">
        <f t="shared" si="4"/>
        <v>0</v>
      </c>
      <c r="F25" s="11">
        <v>2</v>
      </c>
      <c r="G25" s="3">
        <f t="shared" si="0"/>
        <v>-3.9019386579358333</v>
      </c>
      <c r="H25" s="12">
        <f t="shared" si="1"/>
        <v>-3.9019386579358333</v>
      </c>
      <c r="I25" s="11">
        <f t="shared" si="5"/>
        <v>5</v>
      </c>
      <c r="J25" s="20">
        <f t="shared" si="6"/>
        <v>10.588027163254042</v>
      </c>
      <c r="K25" s="12">
        <f t="shared" si="7"/>
        <v>-4.7668388165209841</v>
      </c>
      <c r="N25" s="13">
        <v>0.5</v>
      </c>
      <c r="O25">
        <f t="shared" si="2"/>
        <v>1000</v>
      </c>
      <c r="P25" s="12">
        <f t="shared" si="3"/>
        <v>-5.8487074535029766</v>
      </c>
    </row>
    <row r="26" spans="1:16" x14ac:dyDescent="0.2">
      <c r="B26" s="11">
        <f>IF(ISNUMBER(Auswerteblatt!C24),Auswerteblatt!C24/10^$B$1,B25)</f>
        <v>28.2484</v>
      </c>
      <c r="C26">
        <f>IF(ISNUMBER(Auswerteblatt!C24),Auswerteblatt!D24/10^$B$1,C25)</f>
        <v>18.2484</v>
      </c>
      <c r="D26" s="12">
        <f>IF(ISNUMBER(Auswerteblatt!C24),Auswerteblatt!L24,D25)</f>
        <v>-1.101606680299362</v>
      </c>
      <c r="E26" s="146">
        <f t="shared" si="4"/>
        <v>0</v>
      </c>
      <c r="F26" s="11">
        <v>3</v>
      </c>
      <c r="G26" s="3">
        <f t="shared" si="0"/>
        <v>-3.4913669500837861</v>
      </c>
      <c r="H26" s="12">
        <f t="shared" si="1"/>
        <v>-3.4913669500837861</v>
      </c>
      <c r="I26" s="11">
        <f t="shared" si="5"/>
        <v>6</v>
      </c>
      <c r="J26" s="20">
        <f t="shared" si="6"/>
        <v>10.904591998733704</v>
      </c>
      <c r="K26" s="12">
        <f t="shared" si="7"/>
        <v>-4.3202065798251805</v>
      </c>
      <c r="L26" s="155" t="s">
        <v>8</v>
      </c>
      <c r="M26" s="156"/>
      <c r="N26" s="13">
        <v>0.6</v>
      </c>
      <c r="O26">
        <f t="shared" si="2"/>
        <v>1000</v>
      </c>
      <c r="P26" s="12">
        <f t="shared" si="3"/>
        <v>-5.618448944203573</v>
      </c>
    </row>
    <row r="27" spans="1:16" x14ac:dyDescent="0.2">
      <c r="B27" s="11">
        <f>IF(ISNUMBER(Auswerteblatt!C25),Auswerteblatt!C25/10^$B$1,B26)</f>
        <v>36.945</v>
      </c>
      <c r="C27">
        <f>IF(ISNUMBER(Auswerteblatt!C25),Auswerteblatt!D25/10^$B$1,C26)</f>
        <v>26.945</v>
      </c>
      <c r="D27" s="12">
        <f>IF(ISNUMBER(Auswerteblatt!C25),Auswerteblatt!L25,D26)</f>
        <v>-0.90964030242515115</v>
      </c>
      <c r="E27" s="146">
        <f t="shared" si="4"/>
        <v>0</v>
      </c>
      <c r="F27" s="11">
        <v>5</v>
      </c>
      <c r="G27" s="3">
        <f t="shared" si="0"/>
        <v>-2.9701952490421637</v>
      </c>
      <c r="H27" s="12">
        <f t="shared" si="1"/>
        <v>-2.9701952490421637</v>
      </c>
      <c r="I27" s="11">
        <f t="shared" si="5"/>
        <v>7</v>
      </c>
      <c r="J27" s="20">
        <f t="shared" si="6"/>
        <v>11.391579735270694</v>
      </c>
      <c r="K27" s="12">
        <f t="shared" si="7"/>
        <v>-3.873574343129377</v>
      </c>
      <c r="L27" s="18">
        <f>B8/10</f>
        <v>100</v>
      </c>
      <c r="M27" s="22">
        <f>B11</f>
        <v>-7</v>
      </c>
      <c r="N27" s="13">
        <v>0.7</v>
      </c>
      <c r="O27">
        <f t="shared" si="2"/>
        <v>1000</v>
      </c>
      <c r="P27" s="12">
        <f t="shared" si="3"/>
        <v>-5.3881904349041676</v>
      </c>
    </row>
    <row r="28" spans="1:16" x14ac:dyDescent="0.2">
      <c r="B28" s="11">
        <f>IF(ISNUMBER(Auswerteblatt!C26),Auswerteblatt!C26/10^$B$1,B27)</f>
        <v>44.0488</v>
      </c>
      <c r="C28">
        <f>IF(ISNUMBER(Auswerteblatt!C26),Auswerteblatt!D26/10^$B$1,C27)</f>
        <v>34.0488</v>
      </c>
      <c r="D28" s="12">
        <f>IF(ISNUMBER(Auswerteblatt!C26),Auswerteblatt!L26,D27)</f>
        <v>-0.61787047802593886</v>
      </c>
      <c r="E28" s="146">
        <f t="shared" si="4"/>
        <v>0</v>
      </c>
      <c r="F28" s="11">
        <v>10</v>
      </c>
      <c r="G28" s="3">
        <f t="shared" si="0"/>
        <v>-2.2503673273124454</v>
      </c>
      <c r="H28" s="12">
        <f t="shared" si="1"/>
        <v>-2.2503673273124454</v>
      </c>
      <c r="I28" s="11">
        <f t="shared" si="5"/>
        <v>8</v>
      </c>
      <c r="J28" s="20">
        <f t="shared" si="6"/>
        <v>12.140737661096784</v>
      </c>
      <c r="K28" s="12">
        <f t="shared" si="7"/>
        <v>-3.4269421064335739</v>
      </c>
      <c r="L28" s="17">
        <f>B8</f>
        <v>1000</v>
      </c>
      <c r="M28" s="23">
        <f>M27+LN(10)</f>
        <v>-4.6974149070059541</v>
      </c>
      <c r="N28" s="13">
        <v>0.8</v>
      </c>
      <c r="O28">
        <f t="shared" si="2"/>
        <v>1000</v>
      </c>
      <c r="P28" s="12">
        <f t="shared" si="3"/>
        <v>-5.1579319256047631</v>
      </c>
    </row>
    <row r="29" spans="1:16" x14ac:dyDescent="0.2">
      <c r="B29" s="11">
        <f>IF(ISNUMBER(Auswerteblatt!C27),Auswerteblatt!C27/10^$B$1,B28)</f>
        <v>45.349800000000002</v>
      </c>
      <c r="C29">
        <f>IF(ISNUMBER(Auswerteblatt!C27),Auswerteblatt!D27/10^$B$1,C28)</f>
        <v>35.349800000000002</v>
      </c>
      <c r="D29" s="12">
        <f>IF(ISNUMBER(Auswerteblatt!C27),Auswerteblatt!L27,D28)</f>
        <v>-0.36080000159481967</v>
      </c>
      <c r="E29" s="146">
        <f t="shared" si="4"/>
        <v>0</v>
      </c>
      <c r="F29" s="11">
        <v>20</v>
      </c>
      <c r="G29" s="3">
        <f t="shared" si="0"/>
        <v>-1.4999399867595158</v>
      </c>
      <c r="H29" s="12">
        <f t="shared" si="1"/>
        <v>-1.4999399867595158</v>
      </c>
      <c r="I29" s="11">
        <f t="shared" si="5"/>
        <v>9</v>
      </c>
      <c r="J29" s="20">
        <f t="shared" si="6"/>
        <v>13.293205281367998</v>
      </c>
      <c r="K29" s="12">
        <f t="shared" si="7"/>
        <v>-2.9803098697377708</v>
      </c>
      <c r="N29" s="13">
        <v>0.9</v>
      </c>
      <c r="O29">
        <f t="shared" si="2"/>
        <v>1000</v>
      </c>
      <c r="P29" s="12">
        <f t="shared" si="3"/>
        <v>-4.9276734163053586</v>
      </c>
    </row>
    <row r="30" spans="1:16" x14ac:dyDescent="0.2">
      <c r="B30" s="11">
        <f>IF(ISNUMBER(Auswerteblatt!C28),Auswerteblatt!C28/10^$B$1,B29)</f>
        <v>75.156800000000004</v>
      </c>
      <c r="C30">
        <f>IF(ISNUMBER(Auswerteblatt!C28),Auswerteblatt!D28/10^$B$1,C29)</f>
        <v>65.156800000000004</v>
      </c>
      <c r="D30" s="12">
        <f>IF(ISNUMBER(Auswerteblatt!C28),Auswerteblatt!L28,D29)</f>
        <v>0.10997993781965529</v>
      </c>
      <c r="E30" s="146">
        <f t="shared" si="4"/>
        <v>0</v>
      </c>
      <c r="F30" s="11">
        <v>30</v>
      </c>
      <c r="G30" s="3">
        <f t="shared" si="0"/>
        <v>-1.0309304331587228</v>
      </c>
      <c r="H30" s="12">
        <f t="shared" si="1"/>
        <v>-1.0309304331587228</v>
      </c>
      <c r="I30" s="11">
        <f t="shared" si="5"/>
        <v>10</v>
      </c>
      <c r="J30" s="20">
        <f t="shared" si="6"/>
        <v>15.066104652764251</v>
      </c>
      <c r="K30" s="12">
        <f t="shared" si="7"/>
        <v>-2.5336776330419672</v>
      </c>
      <c r="L30" s="155" t="s">
        <v>10</v>
      </c>
      <c r="M30" s="156"/>
      <c r="N30" s="13">
        <v>1</v>
      </c>
      <c r="O30">
        <f t="shared" si="2"/>
        <v>1000</v>
      </c>
      <c r="P30" s="12">
        <f t="shared" si="3"/>
        <v>-4.6974149070059541</v>
      </c>
    </row>
    <row r="31" spans="1:16" x14ac:dyDescent="0.2">
      <c r="B31" s="11">
        <f>IF(ISNUMBER(Auswerteblatt!C29),Auswerteblatt!C29/10^$B$1,B30)</f>
        <v>122.99</v>
      </c>
      <c r="C31">
        <f>IF(ISNUMBER(Auswerteblatt!C29),Auswerteblatt!D29/10^$B$1,C30)</f>
        <v>112.99</v>
      </c>
      <c r="D31" s="12">
        <f>IF(ISNUMBER(Auswerteblatt!C29),Auswerteblatt!L29,D30)</f>
        <v>0.61580088767544028</v>
      </c>
      <c r="E31" s="146">
        <f t="shared" si="4"/>
        <v>0</v>
      </c>
      <c r="F31" s="11">
        <v>40</v>
      </c>
      <c r="G31" s="3">
        <f t="shared" si="0"/>
        <v>-0.67172699209212194</v>
      </c>
      <c r="H31" s="12">
        <f t="shared" si="1"/>
        <v>-0.67172699209212194</v>
      </c>
      <c r="I31" s="11">
        <f t="shared" si="5"/>
        <v>11</v>
      </c>
      <c r="J31" s="20">
        <f t="shared" si="6"/>
        <v>17.793445643357579</v>
      </c>
      <c r="K31" s="12">
        <f t="shared" si="7"/>
        <v>-2.0870453963461637</v>
      </c>
      <c r="L31" s="18">
        <f>B8/10</f>
        <v>100</v>
      </c>
      <c r="M31" s="22">
        <f>B11</f>
        <v>-7</v>
      </c>
      <c r="N31" s="13">
        <v>1.1000000000000001</v>
      </c>
      <c r="O31">
        <f t="shared" si="2"/>
        <v>1000</v>
      </c>
      <c r="P31" s="12">
        <f t="shared" si="3"/>
        <v>-4.4671563977065496</v>
      </c>
    </row>
    <row r="32" spans="1:16" x14ac:dyDescent="0.2">
      <c r="B32" s="11">
        <f>IF(ISNUMBER(Auswerteblatt!C30),Auswerteblatt!C30/10^$B$1,B31)</f>
        <v>122.99</v>
      </c>
      <c r="C32">
        <f>IF(ISNUMBER(Auswerteblatt!C30),Auswerteblatt!D30/10^$B$1,C31)</f>
        <v>112.99</v>
      </c>
      <c r="D32" s="12">
        <f>IF(ISNUMBER(Auswerteblatt!C30),Auswerteblatt!L30,D31)</f>
        <v>0.61580088767544028</v>
      </c>
      <c r="E32" s="146">
        <f t="shared" si="4"/>
        <v>0</v>
      </c>
      <c r="F32" s="11">
        <v>50</v>
      </c>
      <c r="G32" s="3">
        <f t="shared" si="0"/>
        <v>-0.36651292058166435</v>
      </c>
      <c r="H32" s="12">
        <f t="shared" si="1"/>
        <v>-0.36651292058166435</v>
      </c>
      <c r="I32" s="11">
        <f t="shared" si="5"/>
        <v>12</v>
      </c>
      <c r="J32" s="20">
        <f t="shared" si="6"/>
        <v>21.989052567800471</v>
      </c>
      <c r="K32" s="12">
        <f t="shared" si="7"/>
        <v>-1.6404131596503611</v>
      </c>
      <c r="L32">
        <f>IF(M34&gt;M33,L33,L34)</f>
        <v>1000</v>
      </c>
      <c r="M32">
        <f>IF(M34&gt;M33,M33,M34)</f>
        <v>-4.6122990987554804</v>
      </c>
      <c r="N32" s="13">
        <v>1.2</v>
      </c>
      <c r="O32">
        <f t="shared" si="2"/>
        <v>1000</v>
      </c>
      <c r="P32" s="12">
        <f t="shared" si="3"/>
        <v>-4.2368978884071451</v>
      </c>
    </row>
    <row r="33" spans="2:16" x14ac:dyDescent="0.2">
      <c r="B33" s="11">
        <f>IF(ISNUMBER(Auswerteblatt!C31),Auswerteblatt!C31/10^$B$1,B32)</f>
        <v>122.99</v>
      </c>
      <c r="C33">
        <f>IF(ISNUMBER(Auswerteblatt!C31),Auswerteblatt!D31/10^$B$1,C32)</f>
        <v>112.99</v>
      </c>
      <c r="D33" s="12">
        <f>IF(ISNUMBER(Auswerteblatt!C31),Auswerteblatt!L31,D32)</f>
        <v>0.61580088767544028</v>
      </c>
      <c r="E33" s="146">
        <f t="shared" si="4"/>
        <v>0</v>
      </c>
      <c r="F33" s="11">
        <v>60</v>
      </c>
      <c r="G33" s="3">
        <f t="shared" si="0"/>
        <v>-8.7421571790755173E-2</v>
      </c>
      <c r="H33" s="12">
        <f t="shared" si="1"/>
        <v>-8.7421571790755173E-2</v>
      </c>
      <c r="I33" s="11">
        <f t="shared" si="5"/>
        <v>13</v>
      </c>
      <c r="J33" s="20">
        <f t="shared" si="6"/>
        <v>28.443367420672509</v>
      </c>
      <c r="K33" s="12">
        <f t="shared" si="7"/>
        <v>-1.1937809229545575</v>
      </c>
      <c r="L33">
        <f>10^((H39-B11)/Auswerteblatt!C4/LN(10)+LOG('LN-Transfer'!B8/10))</f>
        <v>550943.51401979814</v>
      </c>
      <c r="M33" s="3">
        <f>H39</f>
        <v>1.9326447339160815</v>
      </c>
      <c r="N33" s="13">
        <v>1.3</v>
      </c>
      <c r="O33">
        <f t="shared" si="2"/>
        <v>1000</v>
      </c>
      <c r="P33" s="12">
        <f t="shared" si="3"/>
        <v>-4.0066393791077406</v>
      </c>
    </row>
    <row r="34" spans="2:16" x14ac:dyDescent="0.2">
      <c r="B34" s="11">
        <f>IF(ISNUMBER(Auswerteblatt!C32),Auswerteblatt!C32/10^$B$1,B33)</f>
        <v>122.99</v>
      </c>
      <c r="C34">
        <f>IF(ISNUMBER(Auswerteblatt!C32),Auswerteblatt!D32/10^$B$1,C33)</f>
        <v>112.99</v>
      </c>
      <c r="D34" s="12">
        <f>IF(ISNUMBER(Auswerteblatt!C32),Auswerteblatt!L32,D33)</f>
        <v>0.61580088767544028</v>
      </c>
      <c r="E34" s="146">
        <f t="shared" si="4"/>
        <v>0</v>
      </c>
      <c r="F34" s="13">
        <f>100*(1-EXP(-1))</f>
        <v>63.212055882855765</v>
      </c>
      <c r="G34" s="3">
        <f t="shared" si="0"/>
        <v>0</v>
      </c>
      <c r="H34" s="12">
        <f t="shared" si="1"/>
        <v>0</v>
      </c>
      <c r="I34" s="11">
        <f t="shared" si="5"/>
        <v>14</v>
      </c>
      <c r="J34" s="20">
        <f t="shared" si="6"/>
        <v>38.372367198347334</v>
      </c>
      <c r="K34" s="12">
        <f t="shared" si="7"/>
        <v>-0.74714868625875397</v>
      </c>
      <c r="L34" s="17">
        <f>B8</f>
        <v>1000</v>
      </c>
      <c r="M34" s="23">
        <f>M31+LN(10)*Auswerteblatt!C4</f>
        <v>-4.6122990987554804</v>
      </c>
      <c r="N34" s="13">
        <v>1.4</v>
      </c>
      <c r="O34">
        <f t="shared" si="2"/>
        <v>1000</v>
      </c>
      <c r="P34" s="12">
        <f t="shared" si="3"/>
        <v>-3.7763808698083361</v>
      </c>
    </row>
    <row r="35" spans="2:16" x14ac:dyDescent="0.2">
      <c r="B35" s="11">
        <f>IF(ISNUMBER(Auswerteblatt!C33),Auswerteblatt!C33/10^$B$1,B34)</f>
        <v>122.99</v>
      </c>
      <c r="C35">
        <f>IF(ISNUMBER(Auswerteblatt!C33),Auswerteblatt!D33/10^$B$1,C34)</f>
        <v>112.99</v>
      </c>
      <c r="D35" s="12">
        <f>IF(ISNUMBER(Auswerteblatt!C33),Auswerteblatt!L33,D34)</f>
        <v>0.61580088767544028</v>
      </c>
      <c r="E35" s="146">
        <f t="shared" si="4"/>
        <v>0</v>
      </c>
      <c r="F35" s="11">
        <v>70</v>
      </c>
      <c r="G35" s="3">
        <f t="shared" si="0"/>
        <v>0.18562675886236557</v>
      </c>
      <c r="H35" s="12">
        <f t="shared" si="1"/>
        <v>0.18562675886236557</v>
      </c>
      <c r="I35" s="11">
        <f t="shared" si="5"/>
        <v>15</v>
      </c>
      <c r="J35" s="20">
        <f t="shared" si="6"/>
        <v>53.646650965461404</v>
      </c>
      <c r="K35" s="12">
        <f t="shared" si="7"/>
        <v>-0.30051644956295132</v>
      </c>
      <c r="N35" s="13">
        <v>1.5</v>
      </c>
      <c r="O35">
        <f t="shared" si="2"/>
        <v>1000</v>
      </c>
      <c r="P35" s="12">
        <f t="shared" si="3"/>
        <v>-3.5461223605089311</v>
      </c>
    </row>
    <row r="36" spans="2:16" x14ac:dyDescent="0.2">
      <c r="B36" s="11">
        <f>IF(ISNUMBER(Auswerteblatt!C34),Auswerteblatt!C34/10^$B$1,B35)</f>
        <v>122.99</v>
      </c>
      <c r="C36">
        <f>IF(ISNUMBER(Auswerteblatt!C34),Auswerteblatt!D34/10^$B$1,C35)</f>
        <v>112.99</v>
      </c>
      <c r="D36" s="12">
        <f>IF(ISNUMBER(Auswerteblatt!C34),Auswerteblatt!L34,D35)</f>
        <v>0.61580088767544028</v>
      </c>
      <c r="E36" s="146">
        <f t="shared" si="4"/>
        <v>0</v>
      </c>
      <c r="F36" s="11">
        <v>80</v>
      </c>
      <c r="G36" s="3">
        <f t="shared" si="0"/>
        <v>0.4758849953271107</v>
      </c>
      <c r="H36" s="12">
        <f t="shared" si="1"/>
        <v>0.4758849953271107</v>
      </c>
      <c r="I36" s="11">
        <f t="shared" si="5"/>
        <v>16</v>
      </c>
      <c r="J36" s="20">
        <f t="shared" si="6"/>
        <v>77.14385610418087</v>
      </c>
      <c r="K36" s="12">
        <f t="shared" si="7"/>
        <v>0.14611578713285223</v>
      </c>
      <c r="N36" s="13">
        <v>1.6</v>
      </c>
      <c r="O36">
        <f t="shared" si="2"/>
        <v>1000</v>
      </c>
      <c r="P36" s="12">
        <f t="shared" si="3"/>
        <v>-3.3158638512095262</v>
      </c>
    </row>
    <row r="37" spans="2:16" x14ac:dyDescent="0.2">
      <c r="B37" s="11">
        <f>IF(ISNUMBER(Auswerteblatt!C35),Auswerteblatt!C35/10^$B$1,B36)</f>
        <v>122.99</v>
      </c>
      <c r="C37">
        <f>IF(ISNUMBER(Auswerteblatt!C35),Auswerteblatt!D35/10^$B$1,C36)</f>
        <v>112.99</v>
      </c>
      <c r="D37" s="12">
        <f>IF(ISNUMBER(Auswerteblatt!C35),Auswerteblatt!L35,D36)</f>
        <v>0.61580088767544028</v>
      </c>
      <c r="E37" s="146">
        <f t="shared" si="4"/>
        <v>0</v>
      </c>
      <c r="F37" s="11">
        <v>90</v>
      </c>
      <c r="G37" s="3">
        <f t="shared" si="0"/>
        <v>0.83403244524795594</v>
      </c>
      <c r="H37" s="12">
        <f t="shared" si="1"/>
        <v>0.83403244524795594</v>
      </c>
      <c r="I37" s="11">
        <f t="shared" si="5"/>
        <v>17</v>
      </c>
      <c r="J37" s="20">
        <f t="shared" si="6"/>
        <v>113.29079809826567</v>
      </c>
      <c r="K37" s="12">
        <f t="shared" si="7"/>
        <v>0.59274802382865577</v>
      </c>
      <c r="N37" s="13">
        <v>1.7</v>
      </c>
      <c r="O37">
        <f t="shared" si="2"/>
        <v>1000</v>
      </c>
      <c r="P37" s="12">
        <f t="shared" si="3"/>
        <v>-3.0856053419101221</v>
      </c>
    </row>
    <row r="38" spans="2:16" x14ac:dyDescent="0.2">
      <c r="B38" s="11">
        <f>IF(ISNUMBER(Auswerteblatt!C36),Auswerteblatt!C36/10^$B$1,B37)</f>
        <v>122.99</v>
      </c>
      <c r="C38">
        <f>IF(ISNUMBER(Auswerteblatt!C36),Auswerteblatt!D36/10^$B$1,C37)</f>
        <v>112.99</v>
      </c>
      <c r="D38" s="12">
        <f>IF(ISNUMBER(Auswerteblatt!C36),Auswerteblatt!L36,D37)</f>
        <v>0.61580088767544028</v>
      </c>
      <c r="E38" s="146">
        <f t="shared" si="4"/>
        <v>0</v>
      </c>
      <c r="F38" s="11">
        <v>99</v>
      </c>
      <c r="G38" s="3">
        <f t="shared" si="0"/>
        <v>1.5271796258079011</v>
      </c>
      <c r="H38" s="12">
        <f t="shared" si="1"/>
        <v>1.5271796258079011</v>
      </c>
      <c r="I38" s="11">
        <f t="shared" si="5"/>
        <v>18</v>
      </c>
      <c r="J38" s="20">
        <f t="shared" si="6"/>
        <v>168.89747164986468</v>
      </c>
      <c r="K38" s="12">
        <f t="shared" si="7"/>
        <v>1.0393802605244584</v>
      </c>
      <c r="N38" s="13">
        <v>1.8</v>
      </c>
      <c r="O38">
        <f t="shared" si="2"/>
        <v>1000</v>
      </c>
      <c r="P38" s="12">
        <f t="shared" si="3"/>
        <v>-2.8553468326107172</v>
      </c>
    </row>
    <row r="39" spans="2:16" x14ac:dyDescent="0.2">
      <c r="B39" s="11">
        <f>IF(ISNUMBER(Auswerteblatt!C37),Auswerteblatt!C37/10^$B$1,B38)</f>
        <v>122.99</v>
      </c>
      <c r="C39">
        <f>IF(ISNUMBER(Auswerteblatt!C37),Auswerteblatt!D37/10^$B$1,C38)</f>
        <v>112.99</v>
      </c>
      <c r="D39" s="12">
        <f>IF(ISNUMBER(Auswerteblatt!C37),Auswerteblatt!L37,D38)</f>
        <v>0.61580088767544028</v>
      </c>
      <c r="E39" s="146">
        <f t="shared" si="4"/>
        <v>0</v>
      </c>
      <c r="F39" s="14">
        <v>99.9</v>
      </c>
      <c r="G39" s="15">
        <f t="shared" si="0"/>
        <v>1.9326447339160815</v>
      </c>
      <c r="H39" s="16">
        <f t="shared" si="1"/>
        <v>1.9326447339160815</v>
      </c>
      <c r="I39" s="11">
        <f t="shared" si="5"/>
        <v>19</v>
      </c>
      <c r="J39" s="20">
        <f t="shared" si="6"/>
        <v>254.44003688208031</v>
      </c>
      <c r="K39" s="12">
        <f t="shared" si="7"/>
        <v>1.486012497220262</v>
      </c>
      <c r="N39" s="13">
        <v>1.9</v>
      </c>
      <c r="O39">
        <f t="shared" si="2"/>
        <v>1000</v>
      </c>
      <c r="P39" s="12">
        <f t="shared" si="3"/>
        <v>-2.6250883233113127</v>
      </c>
    </row>
    <row r="40" spans="2:16" x14ac:dyDescent="0.2">
      <c r="B40" s="11">
        <f>IF(ISNUMBER(Auswerteblatt!C38),Auswerteblatt!C38/10^$B$1,B39)</f>
        <v>122.99</v>
      </c>
      <c r="C40">
        <f>IF(ISNUMBER(Auswerteblatt!C38),Auswerteblatt!D38/10^$B$1,C39)</f>
        <v>112.99</v>
      </c>
      <c r="D40" s="12">
        <f>IF(ISNUMBER(Auswerteblatt!C38),Auswerteblatt!L38,D39)</f>
        <v>0.61580088767544028</v>
      </c>
      <c r="E40" s="146">
        <f t="shared" si="4"/>
        <v>0</v>
      </c>
      <c r="I40" s="14">
        <f t="shared" si="5"/>
        <v>20</v>
      </c>
      <c r="J40" s="21">
        <f t="shared" si="6"/>
        <v>386.03450206291359</v>
      </c>
      <c r="K40" s="16">
        <f t="shared" si="7"/>
        <v>1.9326447339160655</v>
      </c>
      <c r="N40" s="13">
        <v>2</v>
      </c>
      <c r="O40">
        <f t="shared" si="2"/>
        <v>1000</v>
      </c>
      <c r="P40" s="12">
        <f t="shared" si="3"/>
        <v>-2.3948298140119082</v>
      </c>
    </row>
    <row r="41" spans="2:16" x14ac:dyDescent="0.2">
      <c r="B41" s="11">
        <f>IF(ISNUMBER(Auswerteblatt!C39),Auswerteblatt!C39/10^$B$1,B40)</f>
        <v>122.99</v>
      </c>
      <c r="C41">
        <f>IF(ISNUMBER(Auswerteblatt!C39),Auswerteblatt!D39/10^$B$1,C40)</f>
        <v>112.99</v>
      </c>
      <c r="D41" s="12">
        <f>IF(ISNUMBER(Auswerteblatt!C39),Auswerteblatt!L39,D40)</f>
        <v>0.61580088767544028</v>
      </c>
      <c r="E41" s="146">
        <f t="shared" si="4"/>
        <v>0</v>
      </c>
      <c r="N41" s="13">
        <v>2.1</v>
      </c>
      <c r="O41">
        <f t="shared" si="2"/>
        <v>1000</v>
      </c>
      <c r="P41" s="12">
        <f t="shared" si="3"/>
        <v>-2.1645713047125037</v>
      </c>
    </row>
    <row r="42" spans="2:16" x14ac:dyDescent="0.2">
      <c r="B42" s="11">
        <f>IF(ISNUMBER(Auswerteblatt!C40),Auswerteblatt!C40/10^$B$1,B41)</f>
        <v>122.99</v>
      </c>
      <c r="C42">
        <f>IF(ISNUMBER(Auswerteblatt!C40),Auswerteblatt!D40/10^$B$1,C41)</f>
        <v>112.99</v>
      </c>
      <c r="D42" s="12">
        <f>IF(ISNUMBER(Auswerteblatt!C40),Auswerteblatt!L40,D41)</f>
        <v>0.61580088767544028</v>
      </c>
      <c r="E42" s="146">
        <f t="shared" si="4"/>
        <v>0</v>
      </c>
      <c r="N42" s="13">
        <v>2.2000000000000002</v>
      </c>
      <c r="O42">
        <f t="shared" si="2"/>
        <v>1000</v>
      </c>
      <c r="P42" s="12">
        <f t="shared" si="3"/>
        <v>-1.9343127954130983</v>
      </c>
    </row>
    <row r="43" spans="2:16" x14ac:dyDescent="0.2">
      <c r="B43" s="11">
        <f>IF(ISNUMBER(Auswerteblatt!C41),Auswerteblatt!C41/10^$B$1,B42)</f>
        <v>122.99</v>
      </c>
      <c r="C43">
        <f>IF(ISNUMBER(Auswerteblatt!C41),Auswerteblatt!D41/10^$B$1,C42)</f>
        <v>112.99</v>
      </c>
      <c r="D43" s="12">
        <f>IF(ISNUMBER(Auswerteblatt!C41),Auswerteblatt!L41,D42)</f>
        <v>0.61580088767544028</v>
      </c>
      <c r="E43" s="146">
        <f t="shared" si="4"/>
        <v>0</v>
      </c>
      <c r="N43" s="13">
        <v>2.2999999999999998</v>
      </c>
      <c r="O43">
        <f t="shared" si="2"/>
        <v>1000</v>
      </c>
      <c r="P43" s="12">
        <f t="shared" si="3"/>
        <v>-1.7040542861136947</v>
      </c>
    </row>
    <row r="44" spans="2:16" x14ac:dyDescent="0.2">
      <c r="B44" s="11">
        <f>IF(ISNUMBER(Auswerteblatt!C42),Auswerteblatt!C42/10^$B$1,B43)</f>
        <v>122.99</v>
      </c>
      <c r="C44">
        <f>IF(ISNUMBER(Auswerteblatt!C42),Auswerteblatt!D42/10^$B$1,C43)</f>
        <v>112.99</v>
      </c>
      <c r="D44" s="12">
        <f>IF(ISNUMBER(Auswerteblatt!C42),Auswerteblatt!L42,D43)</f>
        <v>0.61580088767544028</v>
      </c>
      <c r="E44" s="146">
        <f t="shared" si="4"/>
        <v>0</v>
      </c>
      <c r="N44" s="13">
        <v>2.4</v>
      </c>
      <c r="O44">
        <f t="shared" si="2"/>
        <v>1000</v>
      </c>
      <c r="P44" s="12">
        <f t="shared" si="3"/>
        <v>-1.4737957768142902</v>
      </c>
    </row>
    <row r="45" spans="2:16" x14ac:dyDescent="0.2">
      <c r="B45" s="11">
        <f>IF(ISNUMBER(Auswerteblatt!C43),Auswerteblatt!C43/10^$B$1,B44)</f>
        <v>122.99</v>
      </c>
      <c r="C45">
        <f>IF(ISNUMBER(Auswerteblatt!C43),Auswerteblatt!D43/10^$B$1,C44)</f>
        <v>112.99</v>
      </c>
      <c r="D45" s="12">
        <f>IF(ISNUMBER(Auswerteblatt!C43),Auswerteblatt!L43,D44)</f>
        <v>0.61580088767544028</v>
      </c>
      <c r="E45" s="146">
        <f t="shared" si="4"/>
        <v>0</v>
      </c>
      <c r="N45" s="13">
        <v>2.5</v>
      </c>
      <c r="O45">
        <f t="shared" si="2"/>
        <v>1000</v>
      </c>
      <c r="P45" s="12">
        <f t="shared" si="3"/>
        <v>-1.2435372675148848</v>
      </c>
    </row>
    <row r="46" spans="2:16" x14ac:dyDescent="0.2">
      <c r="B46" s="11">
        <f>IF(ISNUMBER(Auswerteblatt!C44),Auswerteblatt!C44/10^$B$1,B45)</f>
        <v>122.99</v>
      </c>
      <c r="C46">
        <f>IF(ISNUMBER(Auswerteblatt!C44),Auswerteblatt!D44/10^$B$1,C45)</f>
        <v>112.99</v>
      </c>
      <c r="D46" s="12">
        <f>IF(ISNUMBER(Auswerteblatt!C44),Auswerteblatt!L44,D45)</f>
        <v>0.61580088767544028</v>
      </c>
      <c r="E46" s="146">
        <f t="shared" si="4"/>
        <v>0</v>
      </c>
      <c r="N46" s="13">
        <v>2.6</v>
      </c>
      <c r="O46">
        <f t="shared" si="2"/>
        <v>1000</v>
      </c>
      <c r="P46" s="12">
        <f t="shared" si="3"/>
        <v>-1.0132787582154803</v>
      </c>
    </row>
    <row r="47" spans="2:16" x14ac:dyDescent="0.2">
      <c r="B47" s="11">
        <f>IF(ISNUMBER(Auswerteblatt!C45),Auswerteblatt!C45/10^$B$1,B46)</f>
        <v>122.99</v>
      </c>
      <c r="C47">
        <f>IF(ISNUMBER(Auswerteblatt!C45),Auswerteblatt!D45/10^$B$1,C46)</f>
        <v>112.99</v>
      </c>
      <c r="D47" s="12">
        <f>IF(ISNUMBER(Auswerteblatt!C45),Auswerteblatt!L45,D46)</f>
        <v>0.61580088767544028</v>
      </c>
      <c r="E47" s="146">
        <f t="shared" si="4"/>
        <v>0</v>
      </c>
      <c r="N47" s="13">
        <v>2.7</v>
      </c>
      <c r="O47">
        <f t="shared" si="2"/>
        <v>1000</v>
      </c>
      <c r="P47" s="12">
        <f t="shared" si="3"/>
        <v>-0.7830202489160758</v>
      </c>
    </row>
    <row r="48" spans="2:16" x14ac:dyDescent="0.2">
      <c r="B48" s="11">
        <f>IF(ISNUMBER(Auswerteblatt!C46),Auswerteblatt!C46/10^$B$1,B47)</f>
        <v>122.99</v>
      </c>
      <c r="C48">
        <f>IF(ISNUMBER(Auswerteblatt!C46),Auswerteblatt!D46/10^$B$1,C47)</f>
        <v>112.99</v>
      </c>
      <c r="D48" s="12">
        <f>IF(ISNUMBER(Auswerteblatt!C46),Auswerteblatt!L46,D47)</f>
        <v>0.61580088767544028</v>
      </c>
      <c r="E48" s="146">
        <f t="shared" si="4"/>
        <v>0</v>
      </c>
      <c r="N48" s="13">
        <v>2.8</v>
      </c>
      <c r="O48">
        <f t="shared" si="2"/>
        <v>1000</v>
      </c>
      <c r="P48" s="12">
        <f t="shared" si="3"/>
        <v>-0.55276173961667219</v>
      </c>
    </row>
    <row r="49" spans="2:16" x14ac:dyDescent="0.2">
      <c r="B49" s="11">
        <f>IF(ISNUMBER(Auswerteblatt!C47),Auswerteblatt!C47/10^$B$1,B48)</f>
        <v>122.99</v>
      </c>
      <c r="C49">
        <f>IF(ISNUMBER(Auswerteblatt!C47),Auswerteblatt!D47/10^$B$1,C48)</f>
        <v>112.99</v>
      </c>
      <c r="D49" s="12">
        <f>IF(ISNUMBER(Auswerteblatt!C47),Auswerteblatt!L47,D48)</f>
        <v>0.61580088767544028</v>
      </c>
      <c r="E49" s="146">
        <f t="shared" si="4"/>
        <v>0</v>
      </c>
      <c r="N49" s="13">
        <v>2.9</v>
      </c>
      <c r="O49">
        <f t="shared" si="2"/>
        <v>1000</v>
      </c>
      <c r="P49" s="12">
        <f t="shared" si="3"/>
        <v>-0.3225032303172668</v>
      </c>
    </row>
    <row r="50" spans="2:16" x14ac:dyDescent="0.2">
      <c r="B50" s="11">
        <f>IF(ISNUMBER(Auswerteblatt!C48),Auswerteblatt!C48/10^$B$1,B49)</f>
        <v>122.99</v>
      </c>
      <c r="C50">
        <f>IF(ISNUMBER(Auswerteblatt!C48),Auswerteblatt!D48/10^$B$1,C49)</f>
        <v>112.99</v>
      </c>
      <c r="D50" s="12">
        <f>IF(ISNUMBER(Auswerteblatt!C48),Auswerteblatt!L48,D49)</f>
        <v>0.61580088767544028</v>
      </c>
      <c r="E50" s="146">
        <f t="shared" si="4"/>
        <v>0</v>
      </c>
      <c r="N50" s="13">
        <v>3</v>
      </c>
      <c r="O50">
        <f t="shared" si="2"/>
        <v>1000</v>
      </c>
      <c r="P50" s="12">
        <f t="shared" si="3"/>
        <v>-9.2244721017862297E-2</v>
      </c>
    </row>
    <row r="51" spans="2:16" x14ac:dyDescent="0.2">
      <c r="B51" s="11">
        <f>IF(ISNUMBER(Auswerteblatt!C49),Auswerteblatt!C49/10^$B$1,B50)</f>
        <v>122.99</v>
      </c>
      <c r="C51">
        <f>IF(ISNUMBER(Auswerteblatt!C49),Auswerteblatt!D49/10^$B$1,C50)</f>
        <v>112.99</v>
      </c>
      <c r="D51" s="12">
        <f>IF(ISNUMBER(Auswerteblatt!C49),Auswerteblatt!L49,D50)</f>
        <v>0.61580088767544028</v>
      </c>
      <c r="E51" s="146">
        <f t="shared" si="4"/>
        <v>0</v>
      </c>
      <c r="N51" s="13">
        <v>3.1</v>
      </c>
      <c r="O51">
        <f t="shared" si="2"/>
        <v>1000</v>
      </c>
      <c r="P51" s="12">
        <f t="shared" si="3"/>
        <v>0.1380137882815422</v>
      </c>
    </row>
    <row r="52" spans="2:16" x14ac:dyDescent="0.2">
      <c r="B52" s="11">
        <f>IF(ISNUMBER(Auswerteblatt!C50),Auswerteblatt!C50/10^$B$1,B51)</f>
        <v>122.99</v>
      </c>
      <c r="C52">
        <f>IF(ISNUMBER(Auswerteblatt!C50),Auswerteblatt!D50/10^$B$1,C51)</f>
        <v>112.99</v>
      </c>
      <c r="D52" s="12">
        <f>IF(ISNUMBER(Auswerteblatt!C50),Auswerteblatt!L50,D51)</f>
        <v>0.61580088767544028</v>
      </c>
      <c r="E52" s="146">
        <f t="shared" si="4"/>
        <v>0</v>
      </c>
      <c r="N52" s="13">
        <v>3.2</v>
      </c>
      <c r="O52">
        <f t="shared" si="2"/>
        <v>1000</v>
      </c>
      <c r="P52" s="12">
        <f t="shared" si="3"/>
        <v>0.36827229758094759</v>
      </c>
    </row>
    <row r="53" spans="2:16" x14ac:dyDescent="0.2">
      <c r="B53" s="11">
        <f>IF(ISNUMBER(Auswerteblatt!C51),Auswerteblatt!C51/10^$B$1,B52)</f>
        <v>122.99</v>
      </c>
      <c r="C53">
        <f>IF(ISNUMBER(Auswerteblatt!C51),Auswerteblatt!D51/10^$B$1,C52)</f>
        <v>112.99</v>
      </c>
      <c r="D53" s="12">
        <f>IF(ISNUMBER(Auswerteblatt!C51),Auswerteblatt!L51,D52)</f>
        <v>0.61580088767544028</v>
      </c>
      <c r="E53" s="146">
        <f t="shared" si="4"/>
        <v>0</v>
      </c>
      <c r="N53" s="13">
        <v>3.3</v>
      </c>
      <c r="O53">
        <f t="shared" si="2"/>
        <v>1000</v>
      </c>
      <c r="P53" s="12">
        <f t="shared" si="3"/>
        <v>0.59853080688035121</v>
      </c>
    </row>
    <row r="54" spans="2:16" x14ac:dyDescent="0.2">
      <c r="B54" s="11">
        <f>IF(ISNUMBER(Auswerteblatt!C52),Auswerteblatt!C52/10^$B$1,B53)</f>
        <v>122.99</v>
      </c>
      <c r="C54">
        <f>IF(ISNUMBER(Auswerteblatt!C52),Auswerteblatt!D52/10^$B$1,C53)</f>
        <v>112.99</v>
      </c>
      <c r="D54" s="12">
        <f>IF(ISNUMBER(Auswerteblatt!C52),Auswerteblatt!L52,D53)</f>
        <v>0.61580088767544028</v>
      </c>
      <c r="E54" s="146">
        <f t="shared" si="4"/>
        <v>0</v>
      </c>
      <c r="N54" s="13">
        <v>3.4</v>
      </c>
      <c r="O54">
        <f t="shared" si="2"/>
        <v>1000</v>
      </c>
      <c r="P54" s="12">
        <f t="shared" si="3"/>
        <v>0.82878931617975571</v>
      </c>
    </row>
    <row r="55" spans="2:16" x14ac:dyDescent="0.2">
      <c r="B55" s="11">
        <f>IF(ISNUMBER(Auswerteblatt!C53),Auswerteblatt!C53/10^$B$1,B54)</f>
        <v>122.99</v>
      </c>
      <c r="C55">
        <f>IF(ISNUMBER(Auswerteblatt!C53),Auswerteblatt!D53/10^$B$1,C54)</f>
        <v>112.99</v>
      </c>
      <c r="D55" s="12">
        <f>IF(ISNUMBER(Auswerteblatt!C53),Auswerteblatt!L53,D54)</f>
        <v>0.61580088767544028</v>
      </c>
      <c r="E55" s="146">
        <f t="shared" si="4"/>
        <v>0</v>
      </c>
      <c r="N55" s="13">
        <v>3.5</v>
      </c>
      <c r="O55">
        <f t="shared" si="2"/>
        <v>1000</v>
      </c>
      <c r="P55" s="12">
        <f t="shared" si="3"/>
        <v>1.0590478254791602</v>
      </c>
    </row>
    <row r="56" spans="2:16" x14ac:dyDescent="0.2">
      <c r="B56" s="11">
        <f>IF(ISNUMBER(Auswerteblatt!C54),Auswerteblatt!C54/10^$B$1,B55)</f>
        <v>122.99</v>
      </c>
      <c r="C56">
        <f>IF(ISNUMBER(Auswerteblatt!C54),Auswerteblatt!D54/10^$B$1,C55)</f>
        <v>112.99</v>
      </c>
      <c r="D56" s="12">
        <f>IF(ISNUMBER(Auswerteblatt!C54),Auswerteblatt!L54,D55)</f>
        <v>0.61580088767544028</v>
      </c>
      <c r="E56" s="146">
        <f t="shared" si="4"/>
        <v>0</v>
      </c>
      <c r="N56" s="13">
        <v>3.6</v>
      </c>
      <c r="O56">
        <f t="shared" si="2"/>
        <v>1000</v>
      </c>
      <c r="P56" s="12">
        <f t="shared" si="3"/>
        <v>1.2893063347785656</v>
      </c>
    </row>
    <row r="57" spans="2:16" x14ac:dyDescent="0.2">
      <c r="B57" s="11">
        <f>IF(ISNUMBER(Auswerteblatt!C55),Auswerteblatt!C55/10^$B$1,B56)</f>
        <v>122.99</v>
      </c>
      <c r="C57">
        <f>IF(ISNUMBER(Auswerteblatt!C55),Auswerteblatt!D55/10^$B$1,C56)</f>
        <v>112.99</v>
      </c>
      <c r="D57" s="12">
        <f>IF(ISNUMBER(Auswerteblatt!C55),Auswerteblatt!L55,D56)</f>
        <v>0.61580088767544028</v>
      </c>
      <c r="E57" s="146">
        <f t="shared" si="4"/>
        <v>0</v>
      </c>
      <c r="N57" s="13">
        <v>3.7</v>
      </c>
      <c r="O57">
        <f t="shared" si="2"/>
        <v>1000</v>
      </c>
      <c r="P57" s="12">
        <f t="shared" si="3"/>
        <v>1.519564844077971</v>
      </c>
    </row>
    <row r="58" spans="2:16" x14ac:dyDescent="0.2">
      <c r="B58" s="11">
        <f>IF(ISNUMBER(Auswerteblatt!C56),Auswerteblatt!C56/10^$B$1,B57)</f>
        <v>122.99</v>
      </c>
      <c r="C58">
        <f>IF(ISNUMBER(Auswerteblatt!C56),Auswerteblatt!D56/10^$B$1,C57)</f>
        <v>112.99</v>
      </c>
      <c r="D58" s="12">
        <f>IF(ISNUMBER(Auswerteblatt!C56),Auswerteblatt!L56,D57)</f>
        <v>0.61580088767544028</v>
      </c>
      <c r="E58" s="146">
        <f t="shared" si="4"/>
        <v>0</v>
      </c>
      <c r="N58" s="17">
        <v>3.8</v>
      </c>
      <c r="O58" s="23">
        <f t="shared" si="2"/>
        <v>1000</v>
      </c>
      <c r="P58" s="16">
        <f t="shared" si="3"/>
        <v>1.7498233533773746</v>
      </c>
    </row>
    <row r="59" spans="2:16" x14ac:dyDescent="0.2">
      <c r="B59" s="11">
        <f>IF(ISNUMBER(Auswerteblatt!C57),Auswerteblatt!C57/10^$B$1,B58)</f>
        <v>122.99</v>
      </c>
      <c r="C59">
        <f>IF(ISNUMBER(Auswerteblatt!C57),Auswerteblatt!D57/10^$B$1,C58)</f>
        <v>112.99</v>
      </c>
      <c r="D59" s="12">
        <f>IF(ISNUMBER(Auswerteblatt!C57),Auswerteblatt!L57,D58)</f>
        <v>0.61580088767544028</v>
      </c>
      <c r="E59" s="146">
        <f t="shared" si="4"/>
        <v>0</v>
      </c>
      <c r="N59" s="8"/>
      <c r="P59" s="3"/>
    </row>
    <row r="60" spans="2:16" x14ac:dyDescent="0.2">
      <c r="B60" s="11">
        <f>IF(ISNUMBER(Auswerteblatt!C58),Auswerteblatt!C58/10^$B$1,B59)</f>
        <v>122.99</v>
      </c>
      <c r="C60">
        <f>IF(ISNUMBER(Auswerteblatt!C58),Auswerteblatt!D58/10^$B$1,C59)</f>
        <v>112.99</v>
      </c>
      <c r="D60" s="12">
        <f>IF(ISNUMBER(Auswerteblatt!C58),Auswerteblatt!L58,D59)</f>
        <v>0.61580088767544028</v>
      </c>
      <c r="E60" s="146">
        <f t="shared" si="4"/>
        <v>0</v>
      </c>
      <c r="N60" s="8"/>
      <c r="P60" s="3"/>
    </row>
    <row r="61" spans="2:16" x14ac:dyDescent="0.2">
      <c r="B61" s="11">
        <f>IF(ISNUMBER(Auswerteblatt!C59),Auswerteblatt!C59/10^$B$1,B60)</f>
        <v>122.99</v>
      </c>
      <c r="C61">
        <f>IF(ISNUMBER(Auswerteblatt!C59),Auswerteblatt!D59/10^$B$1,C60)</f>
        <v>112.99</v>
      </c>
      <c r="D61" s="12">
        <f>IF(ISNUMBER(Auswerteblatt!C59),Auswerteblatt!L59,D60)</f>
        <v>0.61580088767544028</v>
      </c>
      <c r="E61" s="146">
        <f t="shared" si="4"/>
        <v>0</v>
      </c>
      <c r="N61" s="8"/>
      <c r="P61" s="3"/>
    </row>
    <row r="62" spans="2:16" x14ac:dyDescent="0.2">
      <c r="B62" s="11">
        <f>IF(ISNUMBER(Auswerteblatt!C60),Auswerteblatt!C60/10^$B$1,B61)</f>
        <v>122.99</v>
      </c>
      <c r="C62">
        <f>IF(ISNUMBER(Auswerteblatt!C60),Auswerteblatt!D60/10^$B$1,C61)</f>
        <v>112.99</v>
      </c>
      <c r="D62" s="12">
        <f>IF(ISNUMBER(Auswerteblatt!C60),Auswerteblatt!L60,D61)</f>
        <v>0.61580088767544028</v>
      </c>
      <c r="E62" s="146">
        <f t="shared" si="4"/>
        <v>0</v>
      </c>
      <c r="N62" s="8"/>
      <c r="P62" s="3"/>
    </row>
    <row r="63" spans="2:16" x14ac:dyDescent="0.2">
      <c r="B63" s="11">
        <f>IF(ISNUMBER(Auswerteblatt!C61),Auswerteblatt!C61/10^$B$1,B62)</f>
        <v>122.99</v>
      </c>
      <c r="C63">
        <f>IF(ISNUMBER(Auswerteblatt!C61),Auswerteblatt!D61/10^$B$1,C62)</f>
        <v>112.99</v>
      </c>
      <c r="D63" s="12">
        <f>IF(ISNUMBER(Auswerteblatt!C61),Auswerteblatt!L61,D62)</f>
        <v>0.61580088767544028</v>
      </c>
      <c r="E63" s="146">
        <f t="shared" si="4"/>
        <v>0</v>
      </c>
      <c r="N63" s="8"/>
      <c r="P63" s="3"/>
    </row>
    <row r="64" spans="2:16" x14ac:dyDescent="0.2">
      <c r="B64" s="11">
        <f>IF(ISNUMBER(Auswerteblatt!C62),Auswerteblatt!C62/10^$B$1,B63)</f>
        <v>122.99</v>
      </c>
      <c r="C64">
        <f>IF(ISNUMBER(Auswerteblatt!C62),Auswerteblatt!D62/10^$B$1,C63)</f>
        <v>112.99</v>
      </c>
      <c r="D64" s="12">
        <f>IF(ISNUMBER(Auswerteblatt!C62),Auswerteblatt!L62,D63)</f>
        <v>0.61580088767544028</v>
      </c>
      <c r="E64" s="146">
        <f t="shared" si="4"/>
        <v>0</v>
      </c>
    </row>
    <row r="65" spans="2:5" x14ac:dyDescent="0.2">
      <c r="B65" s="11">
        <f>IF(ISNUMBER(Auswerteblatt!C63),Auswerteblatt!C63/10^$B$1,B64)</f>
        <v>122.99</v>
      </c>
      <c r="C65">
        <f>IF(ISNUMBER(Auswerteblatt!C63),Auswerteblatt!D63/10^$B$1,C64)</f>
        <v>112.99</v>
      </c>
      <c r="D65" s="12">
        <f>IF(ISNUMBER(Auswerteblatt!C63),Auswerteblatt!L63,D64)</f>
        <v>0.61580088767544028</v>
      </c>
      <c r="E65" s="146">
        <f t="shared" si="4"/>
        <v>0</v>
      </c>
    </row>
    <row r="66" spans="2:5" x14ac:dyDescent="0.2">
      <c r="B66" s="11">
        <f>IF(ISNUMBER(Auswerteblatt!C64),Auswerteblatt!C64/10^$B$1,B65)</f>
        <v>122.99</v>
      </c>
      <c r="C66">
        <f>IF(ISNUMBER(Auswerteblatt!C64),Auswerteblatt!D64/10^$B$1,C65)</f>
        <v>112.99</v>
      </c>
      <c r="D66" s="12">
        <f>IF(ISNUMBER(Auswerteblatt!C64),Auswerteblatt!L64,D65)</f>
        <v>0.61580088767544028</v>
      </c>
      <c r="E66" s="146">
        <f t="shared" si="4"/>
        <v>0</v>
      </c>
    </row>
    <row r="67" spans="2:5" x14ac:dyDescent="0.2">
      <c r="B67" s="11">
        <f>IF(ISNUMBER(Auswerteblatt!C65),Auswerteblatt!C65/10^$B$1,B66)</f>
        <v>122.99</v>
      </c>
      <c r="C67">
        <f>IF(ISNUMBER(Auswerteblatt!C65),Auswerteblatt!D65/10^$B$1,C66)</f>
        <v>112.99</v>
      </c>
      <c r="D67" s="12">
        <f>IF(ISNUMBER(Auswerteblatt!C65),Auswerteblatt!L65,D66)</f>
        <v>0.61580088767544028</v>
      </c>
      <c r="E67" s="146">
        <f t="shared" si="4"/>
        <v>0</v>
      </c>
    </row>
    <row r="68" spans="2:5" x14ac:dyDescent="0.2">
      <c r="B68" s="11">
        <f>IF(ISNUMBER(Auswerteblatt!C66),Auswerteblatt!C66/10^$B$1,B67)</f>
        <v>122.99</v>
      </c>
      <c r="C68">
        <f>IF(ISNUMBER(Auswerteblatt!C66),Auswerteblatt!D66/10^$B$1,C67)</f>
        <v>112.99</v>
      </c>
      <c r="D68" s="12">
        <f>IF(ISNUMBER(Auswerteblatt!C66),Auswerteblatt!L66,D67)</f>
        <v>0.61580088767544028</v>
      </c>
      <c r="E68" s="146">
        <f t="shared" si="4"/>
        <v>0</v>
      </c>
    </row>
    <row r="69" spans="2:5" x14ac:dyDescent="0.2">
      <c r="B69" s="11">
        <f>IF(ISNUMBER(Auswerteblatt!C67),Auswerteblatt!C67/10^$B$1,B68)</f>
        <v>122.99</v>
      </c>
      <c r="C69">
        <f>IF(ISNUMBER(Auswerteblatt!C67),Auswerteblatt!D67/10^$B$1,C68)</f>
        <v>112.99</v>
      </c>
      <c r="D69" s="12">
        <f>IF(ISNUMBER(Auswerteblatt!C67),Auswerteblatt!L67,D68)</f>
        <v>0.61580088767544028</v>
      </c>
      <c r="E69" s="146">
        <f t="shared" si="4"/>
        <v>0</v>
      </c>
    </row>
    <row r="70" spans="2:5" x14ac:dyDescent="0.2">
      <c r="B70" s="11">
        <f>IF(ISNUMBER(Auswerteblatt!C68),Auswerteblatt!C68/10^$B$1,B69)</f>
        <v>122.99</v>
      </c>
      <c r="C70">
        <f>IF(ISNUMBER(Auswerteblatt!C68),Auswerteblatt!D68/10^$B$1,C69)</f>
        <v>112.99</v>
      </c>
      <c r="D70" s="12">
        <f>IF(ISNUMBER(Auswerteblatt!C68),Auswerteblatt!L68,D69)</f>
        <v>0.61580088767544028</v>
      </c>
      <c r="E70" s="146">
        <f t="shared" si="4"/>
        <v>0</v>
      </c>
    </row>
    <row r="71" spans="2:5" x14ac:dyDescent="0.2">
      <c r="B71" s="11">
        <f>IF(ISNUMBER(Auswerteblatt!C69),Auswerteblatt!C69/10^$B$1,B70)</f>
        <v>122.99</v>
      </c>
      <c r="C71">
        <f>IF(ISNUMBER(Auswerteblatt!C69),Auswerteblatt!D69/10^$B$1,C70)</f>
        <v>112.99</v>
      </c>
      <c r="D71" s="12">
        <f>IF(ISNUMBER(Auswerteblatt!C69),Auswerteblatt!L69,D70)</f>
        <v>0.61580088767544028</v>
      </c>
      <c r="E71" s="146">
        <f t="shared" si="4"/>
        <v>0</v>
      </c>
    </row>
    <row r="72" spans="2:5" x14ac:dyDescent="0.2">
      <c r="B72" s="11">
        <f>IF(ISNUMBER(Auswerteblatt!C70),Auswerteblatt!C70/10^$B$1,B71)</f>
        <v>122.99</v>
      </c>
      <c r="C72">
        <f>IF(ISNUMBER(Auswerteblatt!C70),Auswerteblatt!D70/10^$B$1,C71)</f>
        <v>112.99</v>
      </c>
      <c r="D72" s="12">
        <f>IF(ISNUMBER(Auswerteblatt!C70),Auswerteblatt!L70,D71)</f>
        <v>0.61580088767544028</v>
      </c>
      <c r="E72" s="146">
        <f t="shared" si="4"/>
        <v>0</v>
      </c>
    </row>
    <row r="73" spans="2:5" x14ac:dyDescent="0.2">
      <c r="B73" s="11">
        <f>IF(ISNUMBER(Auswerteblatt!C71),Auswerteblatt!C71/10^$B$1,B72)</f>
        <v>122.99</v>
      </c>
      <c r="C73">
        <f>IF(ISNUMBER(Auswerteblatt!C71),Auswerteblatt!D71/10^$B$1,C72)</f>
        <v>112.99</v>
      </c>
      <c r="D73" s="12">
        <f>IF(ISNUMBER(Auswerteblatt!C71),Auswerteblatt!L71,D72)</f>
        <v>0.61580088767544028</v>
      </c>
      <c r="E73" s="146">
        <f t="shared" si="4"/>
        <v>0</v>
      </c>
    </row>
    <row r="74" spans="2:5" x14ac:dyDescent="0.2">
      <c r="B74" s="11">
        <f>IF(ISNUMBER(Auswerteblatt!C72),Auswerteblatt!C72/10^$B$1,B73)</f>
        <v>122.99</v>
      </c>
      <c r="C74">
        <f>IF(ISNUMBER(Auswerteblatt!C72),Auswerteblatt!D72/10^$B$1,C73)</f>
        <v>112.99</v>
      </c>
      <c r="D74" s="12">
        <f>IF(ISNUMBER(Auswerteblatt!C72),Auswerteblatt!L72,D73)</f>
        <v>0.61580088767544028</v>
      </c>
      <c r="E74" s="146">
        <f t="shared" si="4"/>
        <v>0</v>
      </c>
    </row>
    <row r="75" spans="2:5" x14ac:dyDescent="0.2">
      <c r="B75" s="11">
        <f>IF(ISNUMBER(Auswerteblatt!C73),Auswerteblatt!C73/10^$B$1,B74)</f>
        <v>122.99</v>
      </c>
      <c r="C75">
        <f>IF(ISNUMBER(Auswerteblatt!C73),Auswerteblatt!D73/10^$B$1,C74)</f>
        <v>112.99</v>
      </c>
      <c r="D75" s="12">
        <f>IF(ISNUMBER(Auswerteblatt!C73),Auswerteblatt!L73,D74)</f>
        <v>0.61580088767544028</v>
      </c>
      <c r="E75" s="146">
        <f t="shared" si="4"/>
        <v>0</v>
      </c>
    </row>
    <row r="76" spans="2:5" x14ac:dyDescent="0.2">
      <c r="B76" s="11">
        <f>IF(ISNUMBER(Auswerteblatt!C74),Auswerteblatt!C74/10^$B$1,B75)</f>
        <v>122.99</v>
      </c>
      <c r="C76">
        <f>IF(ISNUMBER(Auswerteblatt!C74),Auswerteblatt!D74/10^$B$1,C75)</f>
        <v>112.99</v>
      </c>
      <c r="D76" s="12">
        <f>IF(ISNUMBER(Auswerteblatt!C74),Auswerteblatt!L74,D75)</f>
        <v>0.61580088767544028</v>
      </c>
      <c r="E76" s="146">
        <f t="shared" si="4"/>
        <v>0</v>
      </c>
    </row>
    <row r="77" spans="2:5" x14ac:dyDescent="0.2">
      <c r="B77" s="11">
        <f>IF(ISNUMBER(Auswerteblatt!C75),Auswerteblatt!C75/10^$B$1,B76)</f>
        <v>122.99</v>
      </c>
      <c r="C77">
        <f>IF(ISNUMBER(Auswerteblatt!C75),Auswerteblatt!D75/10^$B$1,C76)</f>
        <v>112.99</v>
      </c>
      <c r="D77" s="12">
        <f>IF(ISNUMBER(Auswerteblatt!C75),Auswerteblatt!L75,D76)</f>
        <v>0.61580088767544028</v>
      </c>
      <c r="E77" s="146">
        <f t="shared" si="4"/>
        <v>0</v>
      </c>
    </row>
    <row r="78" spans="2:5" x14ac:dyDescent="0.2">
      <c r="B78" s="11">
        <f>IF(ISNUMBER(Auswerteblatt!C76),Auswerteblatt!C76/10^$B$1,B77)</f>
        <v>122.99</v>
      </c>
      <c r="C78">
        <f>IF(ISNUMBER(Auswerteblatt!C76),Auswerteblatt!D76/10^$B$1,C77)</f>
        <v>112.99</v>
      </c>
      <c r="D78" s="12">
        <f>IF(ISNUMBER(Auswerteblatt!C76),Auswerteblatt!L76,D77)</f>
        <v>0.61580088767544028</v>
      </c>
      <c r="E78" s="146">
        <f t="shared" si="4"/>
        <v>0</v>
      </c>
    </row>
    <row r="79" spans="2:5" x14ac:dyDescent="0.2">
      <c r="B79" s="11">
        <f>IF(ISNUMBER(Auswerteblatt!C77),Auswerteblatt!C77/10^$B$1,B78)</f>
        <v>122.99</v>
      </c>
      <c r="C79">
        <f>IF(ISNUMBER(Auswerteblatt!C77),Auswerteblatt!D77/10^$B$1,C78)</f>
        <v>112.99</v>
      </c>
      <c r="D79" s="12">
        <f>IF(ISNUMBER(Auswerteblatt!C77),Auswerteblatt!L77,D78)</f>
        <v>0.61580088767544028</v>
      </c>
      <c r="E79" s="146">
        <f t="shared" si="4"/>
        <v>0</v>
      </c>
    </row>
    <row r="80" spans="2:5" x14ac:dyDescent="0.2">
      <c r="B80" s="11">
        <f>IF(ISNUMBER(Auswerteblatt!C78),Auswerteblatt!C78/10^$B$1,B79)</f>
        <v>122.99</v>
      </c>
      <c r="C80">
        <f>IF(ISNUMBER(Auswerteblatt!C78),Auswerteblatt!D78/10^$B$1,C79)</f>
        <v>112.99</v>
      </c>
      <c r="D80" s="12">
        <f>IF(ISNUMBER(Auswerteblatt!C78),Auswerteblatt!L78,D79)</f>
        <v>0.61580088767544028</v>
      </c>
      <c r="E80" s="146">
        <f t="shared" si="4"/>
        <v>0</v>
      </c>
    </row>
    <row r="81" spans="2:5" x14ac:dyDescent="0.2">
      <c r="B81" s="11">
        <f>IF(ISNUMBER(Auswerteblatt!C79),Auswerteblatt!C79/10^$B$1,B80)</f>
        <v>122.99</v>
      </c>
      <c r="C81">
        <f>IF(ISNUMBER(Auswerteblatt!C79),Auswerteblatt!D79/10^$B$1,C80)</f>
        <v>112.99</v>
      </c>
      <c r="D81" s="12">
        <f>IF(ISNUMBER(Auswerteblatt!C79),Auswerteblatt!L79,D80)</f>
        <v>0.61580088767544028</v>
      </c>
      <c r="E81" s="146">
        <f t="shared" si="4"/>
        <v>0</v>
      </c>
    </row>
    <row r="82" spans="2:5" x14ac:dyDescent="0.2">
      <c r="B82" s="11">
        <f>IF(ISNUMBER(Auswerteblatt!C80),Auswerteblatt!C80/10^$B$1,B81)</f>
        <v>122.99</v>
      </c>
      <c r="C82">
        <f>IF(ISNUMBER(Auswerteblatt!C80),Auswerteblatt!D80/10^$B$1,C81)</f>
        <v>112.99</v>
      </c>
      <c r="D82" s="12">
        <f>IF(ISNUMBER(Auswerteblatt!C80),Auswerteblatt!L80,D81)</f>
        <v>0.61580088767544028</v>
      </c>
      <c r="E82" s="146">
        <f t="shared" si="4"/>
        <v>0</v>
      </c>
    </row>
    <row r="83" spans="2:5" x14ac:dyDescent="0.2">
      <c r="B83" s="11">
        <f>IF(ISNUMBER(Auswerteblatt!C81),Auswerteblatt!C81/10^$B$1,B82)</f>
        <v>122.99</v>
      </c>
      <c r="C83">
        <f>IF(ISNUMBER(Auswerteblatt!C81),Auswerteblatt!D81/10^$B$1,C82)</f>
        <v>112.99</v>
      </c>
      <c r="D83" s="12">
        <f>IF(ISNUMBER(Auswerteblatt!C81),Auswerteblatt!L81,D82)</f>
        <v>0.61580088767544028</v>
      </c>
      <c r="E83" s="146">
        <f t="shared" si="4"/>
        <v>0</v>
      </c>
    </row>
    <row r="84" spans="2:5" x14ac:dyDescent="0.2">
      <c r="B84" s="11">
        <f>IF(ISNUMBER(Auswerteblatt!C82),Auswerteblatt!C82/10^$B$1,B83)</f>
        <v>122.99</v>
      </c>
      <c r="C84">
        <f>IF(ISNUMBER(Auswerteblatt!C82),Auswerteblatt!D82/10^$B$1,C83)</f>
        <v>112.99</v>
      </c>
      <c r="D84" s="12">
        <f>IF(ISNUMBER(Auswerteblatt!C82),Auswerteblatt!L82,D83)</f>
        <v>0.61580088767544028</v>
      </c>
      <c r="E84" s="146">
        <f t="shared" si="4"/>
        <v>0</v>
      </c>
    </row>
    <row r="85" spans="2:5" x14ac:dyDescent="0.2">
      <c r="B85" s="11">
        <f>IF(ISNUMBER(Auswerteblatt!C83),Auswerteblatt!C83/10^$B$1,B84)</f>
        <v>122.99</v>
      </c>
      <c r="C85">
        <f>IF(ISNUMBER(Auswerteblatt!C83),Auswerteblatt!D83/10^$B$1,C84)</f>
        <v>112.99</v>
      </c>
      <c r="D85" s="12">
        <f>IF(ISNUMBER(Auswerteblatt!C83),Auswerteblatt!L83,D84)</f>
        <v>0.61580088767544028</v>
      </c>
      <c r="E85" s="146">
        <f t="shared" ref="E85:E119" si="8">IF(D85&lt;$B$11,1,0)</f>
        <v>0</v>
      </c>
    </row>
    <row r="86" spans="2:5" x14ac:dyDescent="0.2">
      <c r="B86" s="11">
        <f>IF(ISNUMBER(Auswerteblatt!C84),Auswerteblatt!C84/10^$B$1,B85)</f>
        <v>122.99</v>
      </c>
      <c r="C86">
        <f>IF(ISNUMBER(Auswerteblatt!C84),Auswerteblatt!D84/10^$B$1,C85)</f>
        <v>112.99</v>
      </c>
      <c r="D86" s="12">
        <f>IF(ISNUMBER(Auswerteblatt!C84),Auswerteblatt!L84,D85)</f>
        <v>0.61580088767544028</v>
      </c>
      <c r="E86" s="146">
        <f t="shared" si="8"/>
        <v>0</v>
      </c>
    </row>
    <row r="87" spans="2:5" x14ac:dyDescent="0.2">
      <c r="B87" s="11">
        <f>IF(ISNUMBER(Auswerteblatt!C85),Auswerteblatt!C85/10^$B$1,B86)</f>
        <v>122.99</v>
      </c>
      <c r="C87">
        <f>IF(ISNUMBER(Auswerteblatt!C85),Auswerteblatt!D85/10^$B$1,C86)</f>
        <v>112.99</v>
      </c>
      <c r="D87" s="12">
        <f>IF(ISNUMBER(Auswerteblatt!C85),Auswerteblatt!L85,D86)</f>
        <v>0.61580088767544028</v>
      </c>
      <c r="E87" s="146">
        <f t="shared" si="8"/>
        <v>0</v>
      </c>
    </row>
    <row r="88" spans="2:5" x14ac:dyDescent="0.2">
      <c r="B88" s="11">
        <f>IF(ISNUMBER(Auswerteblatt!C86),Auswerteblatt!C86/10^$B$1,B87)</f>
        <v>122.99</v>
      </c>
      <c r="C88">
        <f>IF(ISNUMBER(Auswerteblatt!C86),Auswerteblatt!D86/10^$B$1,C87)</f>
        <v>112.99</v>
      </c>
      <c r="D88" s="12">
        <f>IF(ISNUMBER(Auswerteblatt!C86),Auswerteblatt!L86,D87)</f>
        <v>0.61580088767544028</v>
      </c>
      <c r="E88" s="146">
        <f t="shared" si="8"/>
        <v>0</v>
      </c>
    </row>
    <row r="89" spans="2:5" x14ac:dyDescent="0.2">
      <c r="B89" s="11">
        <f>IF(ISNUMBER(Auswerteblatt!C87),Auswerteblatt!C87/10^$B$1,B88)</f>
        <v>122.99</v>
      </c>
      <c r="C89">
        <f>IF(ISNUMBER(Auswerteblatt!C87),Auswerteblatt!D87/10^$B$1,C88)</f>
        <v>112.99</v>
      </c>
      <c r="D89" s="12">
        <f>IF(ISNUMBER(Auswerteblatt!C87),Auswerteblatt!L87,D88)</f>
        <v>0.61580088767544028</v>
      </c>
      <c r="E89" s="146">
        <f t="shared" si="8"/>
        <v>0</v>
      </c>
    </row>
    <row r="90" spans="2:5" x14ac:dyDescent="0.2">
      <c r="B90" s="11">
        <f>IF(ISNUMBER(Auswerteblatt!C88),Auswerteblatt!C88/10^$B$1,B89)</f>
        <v>122.99</v>
      </c>
      <c r="C90">
        <f>IF(ISNUMBER(Auswerteblatt!C88),Auswerteblatt!D88/10^$B$1,C89)</f>
        <v>112.99</v>
      </c>
      <c r="D90" s="12">
        <f>IF(ISNUMBER(Auswerteblatt!C88),Auswerteblatt!L88,D89)</f>
        <v>0.61580088767544028</v>
      </c>
      <c r="E90" s="146">
        <f t="shared" si="8"/>
        <v>0</v>
      </c>
    </row>
    <row r="91" spans="2:5" x14ac:dyDescent="0.2">
      <c r="B91" s="11">
        <f>IF(ISNUMBER(Auswerteblatt!C89),Auswerteblatt!C89/10^$B$1,B90)</f>
        <v>122.99</v>
      </c>
      <c r="C91">
        <f>IF(ISNUMBER(Auswerteblatt!C89),Auswerteblatt!D89/10^$B$1,C90)</f>
        <v>112.99</v>
      </c>
      <c r="D91" s="12">
        <f>IF(ISNUMBER(Auswerteblatt!C89),Auswerteblatt!L89,D90)</f>
        <v>0.61580088767544028</v>
      </c>
      <c r="E91" s="146">
        <f t="shared" si="8"/>
        <v>0</v>
      </c>
    </row>
    <row r="92" spans="2:5" x14ac:dyDescent="0.2">
      <c r="B92" s="11">
        <f>IF(ISNUMBER(Auswerteblatt!C90),Auswerteblatt!C90/10^$B$1,B91)</f>
        <v>122.99</v>
      </c>
      <c r="C92">
        <f>IF(ISNUMBER(Auswerteblatt!C90),Auswerteblatt!D90/10^$B$1,C91)</f>
        <v>112.99</v>
      </c>
      <c r="D92" s="12">
        <f>IF(ISNUMBER(Auswerteblatt!C90),Auswerteblatt!L90,D91)</f>
        <v>0.61580088767544028</v>
      </c>
      <c r="E92" s="146">
        <f t="shared" si="8"/>
        <v>0</v>
      </c>
    </row>
    <row r="93" spans="2:5" x14ac:dyDescent="0.2">
      <c r="B93" s="11">
        <f>IF(ISNUMBER(Auswerteblatt!C91),Auswerteblatt!C91/10^$B$1,B92)</f>
        <v>122.99</v>
      </c>
      <c r="C93">
        <f>IF(ISNUMBER(Auswerteblatt!C91),Auswerteblatt!D91/10^$B$1,C92)</f>
        <v>112.99</v>
      </c>
      <c r="D93" s="12">
        <f>IF(ISNUMBER(Auswerteblatt!C91),Auswerteblatt!L91,D92)</f>
        <v>0.61580088767544028</v>
      </c>
      <c r="E93" s="146">
        <f t="shared" si="8"/>
        <v>0</v>
      </c>
    </row>
    <row r="94" spans="2:5" x14ac:dyDescent="0.2">
      <c r="B94" s="11">
        <f>IF(ISNUMBER(Auswerteblatt!C92),Auswerteblatt!C92/10^$B$1,B93)</f>
        <v>122.99</v>
      </c>
      <c r="C94">
        <f>IF(ISNUMBER(Auswerteblatt!C92),Auswerteblatt!D92/10^$B$1,C93)</f>
        <v>112.99</v>
      </c>
      <c r="D94" s="12">
        <f>IF(ISNUMBER(Auswerteblatt!C92),Auswerteblatt!L92,D93)</f>
        <v>0.61580088767544028</v>
      </c>
      <c r="E94" s="146">
        <f t="shared" si="8"/>
        <v>0</v>
      </c>
    </row>
    <row r="95" spans="2:5" x14ac:dyDescent="0.2">
      <c r="B95" s="11">
        <f>IF(ISNUMBER(Auswerteblatt!C93),Auswerteblatt!C93/10^$B$1,B94)</f>
        <v>122.99</v>
      </c>
      <c r="C95">
        <f>IF(ISNUMBER(Auswerteblatt!C93),Auswerteblatt!D93/10^$B$1,C94)</f>
        <v>112.99</v>
      </c>
      <c r="D95" s="12">
        <f>IF(ISNUMBER(Auswerteblatt!C93),Auswerteblatt!L93,D94)</f>
        <v>0.61580088767544028</v>
      </c>
      <c r="E95" s="146">
        <f t="shared" si="8"/>
        <v>0</v>
      </c>
    </row>
    <row r="96" spans="2:5" x14ac:dyDescent="0.2">
      <c r="B96" s="11">
        <f>IF(ISNUMBER(Auswerteblatt!C94),Auswerteblatt!C94/10^$B$1,B95)</f>
        <v>122.99</v>
      </c>
      <c r="C96">
        <f>IF(ISNUMBER(Auswerteblatt!C94),Auswerteblatt!D94/10^$B$1,C95)</f>
        <v>112.99</v>
      </c>
      <c r="D96" s="12">
        <f>IF(ISNUMBER(Auswerteblatt!C94),Auswerteblatt!L94,D95)</f>
        <v>0.61580088767544028</v>
      </c>
      <c r="E96" s="146">
        <f t="shared" si="8"/>
        <v>0</v>
      </c>
    </row>
    <row r="97" spans="2:5" x14ac:dyDescent="0.2">
      <c r="B97" s="11">
        <f>IF(ISNUMBER(Auswerteblatt!C95),Auswerteblatt!C95/10^$B$1,B96)</f>
        <v>122.99</v>
      </c>
      <c r="C97">
        <f>IF(ISNUMBER(Auswerteblatt!C95),Auswerteblatt!D95/10^$B$1,C96)</f>
        <v>112.99</v>
      </c>
      <c r="D97" s="12">
        <f>IF(ISNUMBER(Auswerteblatt!C95),Auswerteblatt!L95,D96)</f>
        <v>0.61580088767544028</v>
      </c>
      <c r="E97" s="146">
        <f t="shared" si="8"/>
        <v>0</v>
      </c>
    </row>
    <row r="98" spans="2:5" x14ac:dyDescent="0.2">
      <c r="B98" s="11">
        <f>IF(ISNUMBER(Auswerteblatt!C96),Auswerteblatt!C96/10^$B$1,B97)</f>
        <v>122.99</v>
      </c>
      <c r="C98">
        <f>IF(ISNUMBER(Auswerteblatt!C96),Auswerteblatt!D96/10^$B$1,C97)</f>
        <v>112.99</v>
      </c>
      <c r="D98" s="12">
        <f>IF(ISNUMBER(Auswerteblatt!C96),Auswerteblatt!L96,D97)</f>
        <v>0.61580088767544028</v>
      </c>
      <c r="E98" s="146">
        <f t="shared" si="8"/>
        <v>0</v>
      </c>
    </row>
    <row r="99" spans="2:5" x14ac:dyDescent="0.2">
      <c r="B99" s="11">
        <f>IF(ISNUMBER(Auswerteblatt!C97),Auswerteblatt!C97/10^$B$1,B98)</f>
        <v>122.99</v>
      </c>
      <c r="C99">
        <f>IF(ISNUMBER(Auswerteblatt!C97),Auswerteblatt!D97/10^$B$1,C98)</f>
        <v>112.99</v>
      </c>
      <c r="D99" s="12">
        <f>IF(ISNUMBER(Auswerteblatt!C97),Auswerteblatt!L97,D98)</f>
        <v>0.61580088767544028</v>
      </c>
      <c r="E99" s="146">
        <f t="shared" si="8"/>
        <v>0</v>
      </c>
    </row>
    <row r="100" spans="2:5" x14ac:dyDescent="0.2">
      <c r="B100" s="11">
        <f>IF(ISNUMBER(Auswerteblatt!C98),Auswerteblatt!C98/10^$B$1,B99)</f>
        <v>122.99</v>
      </c>
      <c r="C100">
        <f>IF(ISNUMBER(Auswerteblatt!C98),Auswerteblatt!D98/10^$B$1,C99)</f>
        <v>112.99</v>
      </c>
      <c r="D100" s="12">
        <f>IF(ISNUMBER(Auswerteblatt!C98),Auswerteblatt!L98,D99)</f>
        <v>0.61580088767544028</v>
      </c>
      <c r="E100" s="146">
        <f t="shared" si="8"/>
        <v>0</v>
      </c>
    </row>
    <row r="101" spans="2:5" x14ac:dyDescent="0.2">
      <c r="B101" s="11">
        <f>IF(ISNUMBER(Auswerteblatt!C99),Auswerteblatt!C99/10^$B$1,B100)</f>
        <v>122.99</v>
      </c>
      <c r="C101">
        <f>IF(ISNUMBER(Auswerteblatt!C99),Auswerteblatt!D99/10^$B$1,C100)</f>
        <v>112.99</v>
      </c>
      <c r="D101" s="12">
        <f>IF(ISNUMBER(Auswerteblatt!C99),Auswerteblatt!L99,D100)</f>
        <v>0.61580088767544028</v>
      </c>
      <c r="E101" s="146">
        <f t="shared" si="8"/>
        <v>0</v>
      </c>
    </row>
    <row r="102" spans="2:5" x14ac:dyDescent="0.2">
      <c r="B102" s="11">
        <f>IF(ISNUMBER(Auswerteblatt!C100),Auswerteblatt!C100/10^$B$1,B101)</f>
        <v>122.99</v>
      </c>
      <c r="C102">
        <f>IF(ISNUMBER(Auswerteblatt!C100),Auswerteblatt!D100/10^$B$1,C101)</f>
        <v>112.99</v>
      </c>
      <c r="D102" s="12">
        <f>IF(ISNUMBER(Auswerteblatt!C100),Auswerteblatt!L100,D101)</f>
        <v>0.61580088767544028</v>
      </c>
      <c r="E102" s="146">
        <f t="shared" si="8"/>
        <v>0</v>
      </c>
    </row>
    <row r="103" spans="2:5" x14ac:dyDescent="0.2">
      <c r="B103" s="11">
        <f>IF(ISNUMBER(Auswerteblatt!C101),Auswerteblatt!C101/10^$B$1,B102)</f>
        <v>122.99</v>
      </c>
      <c r="C103">
        <f>IF(ISNUMBER(Auswerteblatt!C101),Auswerteblatt!D101/10^$B$1,C102)</f>
        <v>112.99</v>
      </c>
      <c r="D103" s="12">
        <f>IF(ISNUMBER(Auswerteblatt!C101),Auswerteblatt!L101,D102)</f>
        <v>0.61580088767544028</v>
      </c>
      <c r="E103" s="146">
        <f t="shared" si="8"/>
        <v>0</v>
      </c>
    </row>
    <row r="104" spans="2:5" x14ac:dyDescent="0.2">
      <c r="B104" s="11">
        <f>IF(ISNUMBER(Auswerteblatt!C102),Auswerteblatt!C102/10^$B$1,B103)</f>
        <v>122.99</v>
      </c>
      <c r="C104">
        <f>IF(ISNUMBER(Auswerteblatt!C102),Auswerteblatt!D102/10^$B$1,C103)</f>
        <v>112.99</v>
      </c>
      <c r="D104" s="12">
        <f>IF(ISNUMBER(Auswerteblatt!C102),Auswerteblatt!L102,D103)</f>
        <v>0.61580088767544028</v>
      </c>
      <c r="E104" s="146">
        <f t="shared" si="8"/>
        <v>0</v>
      </c>
    </row>
    <row r="105" spans="2:5" x14ac:dyDescent="0.2">
      <c r="B105" s="11">
        <f>IF(ISNUMBER(Auswerteblatt!C103),Auswerteblatt!C103/10^$B$1,B104)</f>
        <v>122.99</v>
      </c>
      <c r="C105">
        <f>IF(ISNUMBER(Auswerteblatt!C103),Auswerteblatt!D103/10^$B$1,C104)</f>
        <v>112.99</v>
      </c>
      <c r="D105" s="12">
        <f>IF(ISNUMBER(Auswerteblatt!C103),Auswerteblatt!L103,D104)</f>
        <v>0.61580088767544028</v>
      </c>
      <c r="E105" s="146">
        <f t="shared" si="8"/>
        <v>0</v>
      </c>
    </row>
    <row r="106" spans="2:5" x14ac:dyDescent="0.2">
      <c r="B106" s="11">
        <f>IF(ISNUMBER(Auswerteblatt!C104),Auswerteblatt!C104/10^$B$1,B105)</f>
        <v>122.99</v>
      </c>
      <c r="C106">
        <f>IF(ISNUMBER(Auswerteblatt!C104),Auswerteblatt!D104/10^$B$1,C105)</f>
        <v>112.99</v>
      </c>
      <c r="D106" s="12">
        <f>IF(ISNUMBER(Auswerteblatt!C104),Auswerteblatt!L104,D105)</f>
        <v>0.61580088767544028</v>
      </c>
      <c r="E106" s="146">
        <f t="shared" si="8"/>
        <v>0</v>
      </c>
    </row>
    <row r="107" spans="2:5" x14ac:dyDescent="0.2">
      <c r="B107" s="11">
        <f>IF(ISNUMBER(Auswerteblatt!C105),Auswerteblatt!C105/10^$B$1,B106)</f>
        <v>122.99</v>
      </c>
      <c r="C107">
        <f>IF(ISNUMBER(Auswerteblatt!C105),Auswerteblatt!D105/10^$B$1,C106)</f>
        <v>112.99</v>
      </c>
      <c r="D107" s="12">
        <f>IF(ISNUMBER(Auswerteblatt!C105),Auswerteblatt!L105,D106)</f>
        <v>0.61580088767544028</v>
      </c>
      <c r="E107" s="146">
        <f t="shared" si="8"/>
        <v>0</v>
      </c>
    </row>
    <row r="108" spans="2:5" x14ac:dyDescent="0.2">
      <c r="B108" s="11">
        <f>IF(ISNUMBER(Auswerteblatt!C106),Auswerteblatt!C106/10^$B$1,B107)</f>
        <v>122.99</v>
      </c>
      <c r="C108">
        <f>IF(ISNUMBER(Auswerteblatt!C106),Auswerteblatt!D106/10^$B$1,C107)</f>
        <v>112.99</v>
      </c>
      <c r="D108" s="12">
        <f>IF(ISNUMBER(Auswerteblatt!C106),Auswerteblatt!L106,D107)</f>
        <v>0.61580088767544028</v>
      </c>
      <c r="E108" s="146">
        <f t="shared" si="8"/>
        <v>0</v>
      </c>
    </row>
    <row r="109" spans="2:5" x14ac:dyDescent="0.2">
      <c r="B109" s="11">
        <f>IF(ISNUMBER(Auswerteblatt!C107),Auswerteblatt!C107/10^$B$1,B108)</f>
        <v>122.99</v>
      </c>
      <c r="C109">
        <f>IF(ISNUMBER(Auswerteblatt!C107),Auswerteblatt!D107/10^$B$1,C108)</f>
        <v>112.99</v>
      </c>
      <c r="D109" s="12">
        <f>IF(ISNUMBER(Auswerteblatt!C107),Auswerteblatt!L107,D108)</f>
        <v>0.61580088767544028</v>
      </c>
      <c r="E109" s="146">
        <f t="shared" si="8"/>
        <v>0</v>
      </c>
    </row>
    <row r="110" spans="2:5" x14ac:dyDescent="0.2">
      <c r="B110" s="11">
        <f>IF(ISNUMBER(Auswerteblatt!C108),Auswerteblatt!C108/10^$B$1,B109)</f>
        <v>122.99</v>
      </c>
      <c r="C110">
        <f>IF(ISNUMBER(Auswerteblatt!C108),Auswerteblatt!D108/10^$B$1,C109)</f>
        <v>112.99</v>
      </c>
      <c r="D110" s="12">
        <f>IF(ISNUMBER(Auswerteblatt!C108),Auswerteblatt!L108,D109)</f>
        <v>0.61580088767544028</v>
      </c>
      <c r="E110" s="146">
        <f t="shared" si="8"/>
        <v>0</v>
      </c>
    </row>
    <row r="111" spans="2:5" x14ac:dyDescent="0.2">
      <c r="B111" s="11">
        <f>IF(ISNUMBER(Auswerteblatt!C109),Auswerteblatt!C109/10^$B$1,B110)</f>
        <v>122.99</v>
      </c>
      <c r="C111">
        <f>IF(ISNUMBER(Auswerteblatt!C109),Auswerteblatt!D109/10^$B$1,C110)</f>
        <v>112.99</v>
      </c>
      <c r="D111" s="12">
        <f>IF(ISNUMBER(Auswerteblatt!C109),Auswerteblatt!L109,D110)</f>
        <v>0.61580088767544028</v>
      </c>
      <c r="E111" s="146">
        <f t="shared" si="8"/>
        <v>0</v>
      </c>
    </row>
    <row r="112" spans="2:5" x14ac:dyDescent="0.2">
      <c r="B112" s="11">
        <f>IF(ISNUMBER(Auswerteblatt!C110),Auswerteblatt!C110/10^$B$1,B111)</f>
        <v>122.99</v>
      </c>
      <c r="C112">
        <f>IF(ISNUMBER(Auswerteblatt!C110),Auswerteblatt!D110/10^$B$1,C111)</f>
        <v>112.99</v>
      </c>
      <c r="D112" s="12">
        <f>IF(ISNUMBER(Auswerteblatt!C110),Auswerteblatt!L110,D111)</f>
        <v>0.61580088767544028</v>
      </c>
      <c r="E112" s="146">
        <f t="shared" si="8"/>
        <v>0</v>
      </c>
    </row>
    <row r="113" spans="2:5" x14ac:dyDescent="0.2">
      <c r="B113" s="11">
        <f>IF(ISNUMBER(Auswerteblatt!C111),Auswerteblatt!C111/10^$B$1,B112)</f>
        <v>122.99</v>
      </c>
      <c r="C113">
        <f>IF(ISNUMBER(Auswerteblatt!C111),Auswerteblatt!D111/10^$B$1,C112)</f>
        <v>112.99</v>
      </c>
      <c r="D113" s="12">
        <f>IF(ISNUMBER(Auswerteblatt!C111),Auswerteblatt!L111,D112)</f>
        <v>0.61580088767544028</v>
      </c>
      <c r="E113" s="146">
        <f t="shared" si="8"/>
        <v>0</v>
      </c>
    </row>
    <row r="114" spans="2:5" x14ac:dyDescent="0.2">
      <c r="B114" s="11">
        <f>IF(ISNUMBER(Auswerteblatt!C112),Auswerteblatt!C112/10^$B$1,B113)</f>
        <v>122.99</v>
      </c>
      <c r="C114">
        <f>IF(ISNUMBER(Auswerteblatt!C112),Auswerteblatt!D112/10^$B$1,C113)</f>
        <v>112.99</v>
      </c>
      <c r="D114" s="12">
        <f>IF(ISNUMBER(Auswerteblatt!C112),Auswerteblatt!L112,D113)</f>
        <v>0.61580088767544028</v>
      </c>
      <c r="E114" s="146">
        <f t="shared" si="8"/>
        <v>0</v>
      </c>
    </row>
    <row r="115" spans="2:5" x14ac:dyDescent="0.2">
      <c r="B115" s="11">
        <f>IF(ISNUMBER(Auswerteblatt!C113),Auswerteblatt!C113/10^$B$1,B114)</f>
        <v>122.99</v>
      </c>
      <c r="C115">
        <f>IF(ISNUMBER(Auswerteblatt!C113),Auswerteblatt!D113/10^$B$1,C114)</f>
        <v>112.99</v>
      </c>
      <c r="D115" s="12">
        <f>IF(ISNUMBER(Auswerteblatt!C113),Auswerteblatt!L113,D114)</f>
        <v>0.61580088767544028</v>
      </c>
      <c r="E115" s="146">
        <f t="shared" si="8"/>
        <v>0</v>
      </c>
    </row>
    <row r="116" spans="2:5" x14ac:dyDescent="0.2">
      <c r="B116" s="11">
        <f>IF(ISNUMBER(Auswerteblatt!C114),Auswerteblatt!C114/10^$B$1,B115)</f>
        <v>122.99</v>
      </c>
      <c r="C116">
        <f>IF(ISNUMBER(Auswerteblatt!C114),Auswerteblatt!D114/10^$B$1,C115)</f>
        <v>112.99</v>
      </c>
      <c r="D116" s="12">
        <f>IF(ISNUMBER(Auswerteblatt!C114),Auswerteblatt!L114,D115)</f>
        <v>0.61580088767544028</v>
      </c>
      <c r="E116" s="146">
        <f t="shared" si="8"/>
        <v>0</v>
      </c>
    </row>
    <row r="117" spans="2:5" x14ac:dyDescent="0.2">
      <c r="B117" s="11">
        <f>IF(ISNUMBER(Auswerteblatt!C115),Auswerteblatt!C115/10^$B$1,B116)</f>
        <v>122.99</v>
      </c>
      <c r="C117">
        <f>IF(ISNUMBER(Auswerteblatt!C115),Auswerteblatt!D115/10^$B$1,C116)</f>
        <v>112.99</v>
      </c>
      <c r="D117" s="12">
        <f>IF(ISNUMBER(Auswerteblatt!C115),Auswerteblatt!L115,D116)</f>
        <v>0.61580088767544028</v>
      </c>
      <c r="E117" s="146">
        <f t="shared" si="8"/>
        <v>0</v>
      </c>
    </row>
    <row r="118" spans="2:5" x14ac:dyDescent="0.2">
      <c r="B118" s="11">
        <f>IF(ISNUMBER(Auswerteblatt!C116),Auswerteblatt!C116/10^$B$1,B117)</f>
        <v>122.99</v>
      </c>
      <c r="C118">
        <f>IF(ISNUMBER(Auswerteblatt!C116),Auswerteblatt!D116/10^$B$1,C117)</f>
        <v>112.99</v>
      </c>
      <c r="D118" s="12">
        <f>IF(ISNUMBER(Auswerteblatt!C116),Auswerteblatt!L116,D117)</f>
        <v>0.61580088767544028</v>
      </c>
      <c r="E118" s="146">
        <f t="shared" si="8"/>
        <v>0</v>
      </c>
    </row>
    <row r="119" spans="2:5" x14ac:dyDescent="0.2">
      <c r="B119" s="14">
        <f>IF(ISNUMBER(Auswerteblatt!C117),Auswerteblatt!C117/10^$B$1,B118)</f>
        <v>122.99</v>
      </c>
      <c r="C119" s="23">
        <f>IF(ISNUMBER(Auswerteblatt!C117),Auswerteblatt!D117/10^$B$1,C118)</f>
        <v>112.99</v>
      </c>
      <c r="D119" s="16">
        <f>IF(ISNUMBER(Auswerteblatt!C117),Auswerteblatt!L117,D118)</f>
        <v>0.61580088767544028</v>
      </c>
      <c r="E119" s="146">
        <f t="shared" si="8"/>
        <v>0</v>
      </c>
    </row>
  </sheetData>
  <mergeCells count="7">
    <mergeCell ref="L30:M30"/>
    <mergeCell ref="L26:M26"/>
    <mergeCell ref="N19:P19"/>
    <mergeCell ref="F19:H19"/>
    <mergeCell ref="I19:K19"/>
    <mergeCell ref="L19:M19"/>
    <mergeCell ref="L23:M2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80"/>
  <sheetViews>
    <sheetView workbookViewId="0">
      <selection activeCell="C59" sqref="C59"/>
    </sheetView>
  </sheetViews>
  <sheetFormatPr baseColWidth="10" defaultRowHeight="12.75" x14ac:dyDescent="0.2"/>
  <cols>
    <col min="1" max="1" width="0.85546875" customWidth="1"/>
    <col min="2" max="2" width="43.42578125" customWidth="1"/>
    <col min="3" max="3" width="12.28515625" bestFit="1" customWidth="1"/>
  </cols>
  <sheetData>
    <row r="1" spans="2:10" ht="18" x14ac:dyDescent="0.25">
      <c r="B1" s="150" t="s">
        <v>145</v>
      </c>
    </row>
    <row r="4" spans="2:10" x14ac:dyDescent="0.2">
      <c r="B4" t="s">
        <v>71</v>
      </c>
      <c r="C4" s="108">
        <f>Auswerteblatt!C4</f>
        <v>1.0369653258459159</v>
      </c>
    </row>
    <row r="5" spans="2:10" x14ac:dyDescent="0.2">
      <c r="B5" t="s">
        <v>101</v>
      </c>
      <c r="C5" s="108">
        <f>Auswerteblatt!C5</f>
        <v>100000</v>
      </c>
    </row>
    <row r="6" spans="2:10" x14ac:dyDescent="0.2">
      <c r="B6" t="s">
        <v>75</v>
      </c>
      <c r="C6" s="108">
        <f>Auswerteblatt!C6</f>
        <v>683191.38391568488</v>
      </c>
    </row>
    <row r="7" spans="2:10" x14ac:dyDescent="0.2">
      <c r="B7" t="s">
        <v>88</v>
      </c>
      <c r="C7" s="108">
        <f>Auswerteblatt!C7</f>
        <v>583191.38391568488</v>
      </c>
    </row>
    <row r="9" spans="2:10" ht="13.5" thickBot="1" x14ac:dyDescent="0.25"/>
    <row r="10" spans="2:10" ht="18" x14ac:dyDescent="0.25">
      <c r="B10" s="130" t="s">
        <v>108</v>
      </c>
      <c r="C10" s="87"/>
      <c r="D10" s="87"/>
      <c r="E10" s="87"/>
      <c r="F10" s="87"/>
      <c r="G10" s="87"/>
      <c r="H10" s="87"/>
      <c r="I10" s="87"/>
      <c r="J10" s="80"/>
    </row>
    <row r="11" spans="2:10" x14ac:dyDescent="0.2">
      <c r="B11" s="126" t="s">
        <v>81</v>
      </c>
      <c r="C11" s="90">
        <v>500</v>
      </c>
      <c r="D11" t="str">
        <f>Auswerteblatt!$H$5</f>
        <v>in Druckwechsel</v>
      </c>
      <c r="J11" s="86"/>
    </row>
    <row r="12" spans="2:10" x14ac:dyDescent="0.2">
      <c r="B12" s="85"/>
      <c r="J12" s="86"/>
    </row>
    <row r="13" spans="2:10" x14ac:dyDescent="0.2">
      <c r="B13" s="85"/>
      <c r="J13" s="86"/>
    </row>
    <row r="14" spans="2:10" x14ac:dyDescent="0.2">
      <c r="B14" s="126" t="s">
        <v>83</v>
      </c>
      <c r="C14" s="123">
        <f>IF(C11&lt;C5,1,EXP(-(((C11-C5)/(C6-C5))^C4)))</f>
        <v>1</v>
      </c>
      <c r="J14" s="86"/>
    </row>
    <row r="15" spans="2:10" x14ac:dyDescent="0.2">
      <c r="B15" s="85"/>
      <c r="J15" s="86"/>
    </row>
    <row r="16" spans="2:10" x14ac:dyDescent="0.2">
      <c r="B16" s="126" t="s">
        <v>82</v>
      </c>
      <c r="C16" s="123">
        <f>1-C14</f>
        <v>0</v>
      </c>
      <c r="J16" s="86"/>
    </row>
    <row r="17" spans="2:10" x14ac:dyDescent="0.2">
      <c r="B17" s="126"/>
      <c r="C17" s="9"/>
      <c r="J17" s="86"/>
    </row>
    <row r="18" spans="2:10" x14ac:dyDescent="0.2">
      <c r="B18" s="85"/>
      <c r="J18" s="86"/>
    </row>
    <row r="19" spans="2:10" x14ac:dyDescent="0.2">
      <c r="B19" s="126" t="s">
        <v>84</v>
      </c>
      <c r="C19" s="124">
        <f>IF(C11&gt;C5,(C4/C7*((C11-C5)/C7)^(C4-1))/Daten!B4,0)</f>
        <v>0</v>
      </c>
      <c r="D19" t="str">
        <f>CONCATENATE(" in ",Daten!C4,"^(-1)")</f>
        <v xml:space="preserve"> in Druckwechsel^(-1)</v>
      </c>
      <c r="J19" s="86"/>
    </row>
    <row r="20" spans="2:10" x14ac:dyDescent="0.2">
      <c r="B20" s="85"/>
      <c r="J20" s="86"/>
    </row>
    <row r="21" spans="2:10" x14ac:dyDescent="0.2">
      <c r="B21" s="128"/>
      <c r="C21" s="23"/>
      <c r="D21" s="23"/>
      <c r="E21" s="23"/>
      <c r="F21" s="23"/>
      <c r="G21" s="23"/>
      <c r="H21" s="23"/>
      <c r="I21" s="23"/>
      <c r="J21" s="129"/>
    </row>
    <row r="22" spans="2:10" ht="15.75" x14ac:dyDescent="0.25">
      <c r="B22" s="131" t="s">
        <v>109</v>
      </c>
      <c r="J22" s="86"/>
    </row>
    <row r="23" spans="2:10" x14ac:dyDescent="0.2">
      <c r="B23" s="126" t="s">
        <v>110</v>
      </c>
      <c r="C23" s="90">
        <v>5</v>
      </c>
      <c r="D23" s="125" t="s">
        <v>102</v>
      </c>
      <c r="J23" s="86"/>
    </row>
    <row r="24" spans="2:10" x14ac:dyDescent="0.2">
      <c r="B24" s="126" t="s">
        <v>103</v>
      </c>
      <c r="C24" s="90">
        <v>0</v>
      </c>
      <c r="D24" t="s">
        <v>105</v>
      </c>
      <c r="J24" s="86"/>
    </row>
    <row r="25" spans="2:10" x14ac:dyDescent="0.2">
      <c r="B25" s="126" t="s">
        <v>104</v>
      </c>
      <c r="J25" s="86"/>
    </row>
    <row r="26" spans="2:10" x14ac:dyDescent="0.2">
      <c r="B26" s="85"/>
      <c r="J26" s="86"/>
    </row>
    <row r="27" spans="2:10" ht="15.75" x14ac:dyDescent="0.3">
      <c r="B27" s="126" t="s">
        <v>107</v>
      </c>
      <c r="C27" s="123">
        <f>BINOMDIST(C24,C23,C16,1)</f>
        <v>1</v>
      </c>
      <c r="J27" s="86"/>
    </row>
    <row r="28" spans="2:10" x14ac:dyDescent="0.2">
      <c r="B28" s="85"/>
      <c r="J28" s="86"/>
    </row>
    <row r="29" spans="2:10" ht="15.75" x14ac:dyDescent="0.3">
      <c r="B29" s="126" t="s">
        <v>106</v>
      </c>
      <c r="C29" s="127">
        <f>1-C27</f>
        <v>0</v>
      </c>
      <c r="J29" s="86"/>
    </row>
    <row r="30" spans="2:10" ht="13.5" thickBot="1" x14ac:dyDescent="0.25">
      <c r="B30" s="81"/>
      <c r="C30" s="88"/>
      <c r="D30" s="88"/>
      <c r="E30" s="88"/>
      <c r="F30" s="88"/>
      <c r="G30" s="88"/>
      <c r="H30" s="88"/>
      <c r="I30" s="88"/>
      <c r="J30" s="82"/>
    </row>
    <row r="32" spans="2:10" ht="13.5" thickBot="1" x14ac:dyDescent="0.25"/>
    <row r="33" spans="2:10" ht="18" x14ac:dyDescent="0.25">
      <c r="B33" s="130" t="s">
        <v>116</v>
      </c>
      <c r="C33" s="87"/>
      <c r="D33" s="87"/>
      <c r="E33" s="87"/>
      <c r="F33" s="87"/>
      <c r="G33" s="87"/>
      <c r="H33" s="87"/>
      <c r="I33" s="87"/>
      <c r="J33" s="80"/>
    </row>
    <row r="34" spans="2:10" x14ac:dyDescent="0.2">
      <c r="B34" s="85"/>
      <c r="J34" s="86"/>
    </row>
    <row r="35" spans="2:10" x14ac:dyDescent="0.2">
      <c r="B35" s="126" t="s">
        <v>117</v>
      </c>
      <c r="C35" s="90">
        <v>0.9</v>
      </c>
      <c r="J35" s="86"/>
    </row>
    <row r="36" spans="2:10" x14ac:dyDescent="0.2">
      <c r="B36" s="85"/>
      <c r="J36" s="86"/>
    </row>
    <row r="37" spans="2:10" x14ac:dyDescent="0.2">
      <c r="B37" s="126" t="s">
        <v>118</v>
      </c>
      <c r="C37" s="134">
        <f>C7*(-LN(C35))^(1/C4)+C5</f>
        <v>166577.60603710031</v>
      </c>
      <c r="D37" t="str">
        <f>Auswerteblatt!$H$5</f>
        <v>in Druckwechsel</v>
      </c>
      <c r="J37" s="86"/>
    </row>
    <row r="38" spans="2:10" ht="13.5" thickBot="1" x14ac:dyDescent="0.25">
      <c r="B38" s="81"/>
      <c r="C38" s="88"/>
      <c r="D38" s="88"/>
      <c r="E38" s="88"/>
      <c r="F38" s="88"/>
      <c r="G38" s="88"/>
      <c r="H38" s="88"/>
      <c r="I38" s="88"/>
      <c r="J38" s="82"/>
    </row>
    <row r="40" spans="2:10" ht="13.5" thickBot="1" x14ac:dyDescent="0.25"/>
    <row r="41" spans="2:10" ht="18" x14ac:dyDescent="0.25">
      <c r="B41" s="130" t="s">
        <v>120</v>
      </c>
      <c r="C41" s="87"/>
      <c r="D41" s="87"/>
      <c r="E41" s="87"/>
      <c r="F41" s="87"/>
      <c r="G41" s="87"/>
      <c r="H41" s="87"/>
      <c r="I41" s="87"/>
      <c r="J41" s="80"/>
    </row>
    <row r="42" spans="2:10" x14ac:dyDescent="0.2">
      <c r="B42" s="85"/>
      <c r="J42" s="86"/>
    </row>
    <row r="43" spans="2:10" x14ac:dyDescent="0.2">
      <c r="B43" s="126" t="s">
        <v>119</v>
      </c>
      <c r="C43" s="90">
        <v>0</v>
      </c>
      <c r="D43" t="str">
        <f>Auswerteblatt!$H$5</f>
        <v>in Druckwechsel</v>
      </c>
      <c r="J43" s="86"/>
    </row>
    <row r="44" spans="2:10" x14ac:dyDescent="0.2">
      <c r="B44" s="85"/>
      <c r="J44" s="86"/>
    </row>
    <row r="45" spans="2:10" ht="15.75" x14ac:dyDescent="0.3">
      <c r="B45" s="126" t="s">
        <v>113</v>
      </c>
      <c r="C45" s="62">
        <f>$C$7*(-LN(0.5))^(1/$C$4)+$C$5</f>
        <v>509553.60260961915</v>
      </c>
      <c r="D45" t="str">
        <f>Auswerteblatt!$H$5</f>
        <v>in Druckwechsel</v>
      </c>
      <c r="J45" s="86"/>
    </row>
    <row r="46" spans="2:10" x14ac:dyDescent="0.2">
      <c r="B46" s="85"/>
      <c r="J46" s="86"/>
    </row>
    <row r="47" spans="2:10" ht="15.75" x14ac:dyDescent="0.3">
      <c r="B47" s="126" t="s">
        <v>114</v>
      </c>
      <c r="C47" s="62">
        <f>$C$7*(-LN(0.99865))^(1/$C$4)+$C$5</f>
        <v>100997.06722662218</v>
      </c>
      <c r="D47" t="str">
        <f>Auswerteblatt!$H$5</f>
        <v>in Druckwechsel</v>
      </c>
      <c r="J47" s="86"/>
    </row>
    <row r="48" spans="2:10" x14ac:dyDescent="0.2">
      <c r="B48" s="85"/>
      <c r="J48" s="86"/>
    </row>
    <row r="49" spans="2:10" x14ac:dyDescent="0.2">
      <c r="B49" s="85"/>
      <c r="J49" s="86"/>
    </row>
    <row r="50" spans="2:10" ht="15.75" x14ac:dyDescent="0.3">
      <c r="B50" s="132" t="s">
        <v>115</v>
      </c>
      <c r="C50" s="133">
        <f>(C45-C43)/(C45-C47)</f>
        <v>1.247204630154658</v>
      </c>
      <c r="H50" t="s">
        <v>111</v>
      </c>
      <c r="J50" s="86"/>
    </row>
    <row r="51" spans="2:10" x14ac:dyDescent="0.2">
      <c r="B51" s="85"/>
      <c r="H51" t="s">
        <v>112</v>
      </c>
      <c r="J51" s="86"/>
    </row>
    <row r="52" spans="2:10" ht="13.5" thickBot="1" x14ac:dyDescent="0.25">
      <c r="B52" s="81"/>
      <c r="C52" s="88"/>
      <c r="D52" s="88"/>
      <c r="E52" s="88"/>
      <c r="F52" s="88"/>
      <c r="G52" s="88"/>
      <c r="H52" s="88"/>
      <c r="I52" s="88"/>
      <c r="J52" s="82"/>
    </row>
    <row r="54" spans="2:10" ht="13.5" thickBot="1" x14ac:dyDescent="0.25"/>
    <row r="55" spans="2:10" ht="18" x14ac:dyDescent="0.25">
      <c r="B55" s="130" t="s">
        <v>135</v>
      </c>
      <c r="C55" s="87"/>
      <c r="D55" s="87"/>
      <c r="E55" s="87"/>
      <c r="F55" s="87"/>
      <c r="G55" s="87"/>
      <c r="H55" s="87"/>
      <c r="I55" s="87"/>
      <c r="J55" s="80"/>
    </row>
    <row r="56" spans="2:10" x14ac:dyDescent="0.2">
      <c r="B56" s="85"/>
      <c r="J56" s="86"/>
    </row>
    <row r="57" spans="2:10" x14ac:dyDescent="0.2">
      <c r="B57" s="126" t="s">
        <v>121</v>
      </c>
      <c r="C57" s="90">
        <v>0.95</v>
      </c>
      <c r="J57" s="86"/>
    </row>
    <row r="58" spans="2:10" x14ac:dyDescent="0.2">
      <c r="B58" s="85"/>
      <c r="J58" s="86"/>
    </row>
    <row r="59" spans="2:10" ht="15.75" x14ac:dyDescent="0.2">
      <c r="B59" s="135" t="s">
        <v>128</v>
      </c>
      <c r="C59" s="28">
        <f>Auswerteblatt!L4</f>
        <v>13.276270685760327</v>
      </c>
      <c r="J59" s="86"/>
    </row>
    <row r="60" spans="2:10" ht="15.75" x14ac:dyDescent="0.2">
      <c r="B60" s="135" t="s">
        <v>127</v>
      </c>
      <c r="C60" s="28">
        <f>Auswerteblatt!L5</f>
        <v>0.96435239932853001</v>
      </c>
      <c r="J60" s="86"/>
    </row>
    <row r="61" spans="2:10" ht="15.75" x14ac:dyDescent="0.2">
      <c r="B61" s="135" t="s">
        <v>126</v>
      </c>
      <c r="C61" s="28">
        <f>Auswerteblatt!L6</f>
        <v>0.99187792246984052</v>
      </c>
      <c r="J61" s="86"/>
    </row>
    <row r="62" spans="2:10" ht="15.75" x14ac:dyDescent="0.2">
      <c r="B62" s="135" t="s">
        <v>125</v>
      </c>
      <c r="C62" s="28">
        <f>Auswerteblatt!L7</f>
        <v>0.10708159601231701</v>
      </c>
      <c r="J62" s="86"/>
    </row>
    <row r="63" spans="2:10" ht="15.75" x14ac:dyDescent="0.2">
      <c r="B63" s="135" t="s">
        <v>124</v>
      </c>
      <c r="C63" s="28">
        <f>Auswerteblatt!L8</f>
        <v>12</v>
      </c>
      <c r="J63" s="86"/>
    </row>
    <row r="64" spans="2:10" ht="15.75" x14ac:dyDescent="0.2">
      <c r="B64" s="135" t="s">
        <v>123</v>
      </c>
      <c r="C64" s="28">
        <f>Auswerteblatt!L9</f>
        <v>15.057373849833699</v>
      </c>
      <c r="J64" s="86"/>
    </row>
    <row r="65" spans="2:10" ht="15.75" x14ac:dyDescent="0.2">
      <c r="B65" s="136" t="s">
        <v>122</v>
      </c>
      <c r="C65" s="28">
        <f>Auswerteblatt!L10</f>
        <v>34.438035249757029</v>
      </c>
      <c r="J65" s="86"/>
    </row>
    <row r="66" spans="2:10" x14ac:dyDescent="0.2">
      <c r="B66" s="85"/>
      <c r="J66" s="86"/>
    </row>
    <row r="67" spans="2:10" ht="15.75" x14ac:dyDescent="0.2">
      <c r="B67" s="135" t="s">
        <v>129</v>
      </c>
      <c r="C67" s="3">
        <f>TINV(1-C57,C63-2)</f>
        <v>2.2281388519862744</v>
      </c>
      <c r="J67" s="86"/>
    </row>
    <row r="68" spans="2:10" x14ac:dyDescent="0.2">
      <c r="B68" s="85"/>
      <c r="J68" s="86"/>
    </row>
    <row r="69" spans="2:10" ht="15.75" x14ac:dyDescent="0.3">
      <c r="B69" s="126" t="s">
        <v>133</v>
      </c>
      <c r="C69">
        <f>$C$59-$C$67*$C$62*SQRT($C$65/$C$63/$C$64)</f>
        <v>13.172108273153208</v>
      </c>
      <c r="D69" s="1" t="s">
        <v>130</v>
      </c>
      <c r="E69">
        <f>$C$59+$C$67*$C$62*SQRT($C$65/$C$63/$C$64)</f>
        <v>13.380433098367446</v>
      </c>
      <c r="J69" s="86"/>
    </row>
    <row r="70" spans="2:10" x14ac:dyDescent="0.2">
      <c r="B70" s="126"/>
      <c r="D70" s="1"/>
      <c r="J70" s="86"/>
    </row>
    <row r="71" spans="2:10" ht="15.75" x14ac:dyDescent="0.3">
      <c r="B71" s="126" t="s">
        <v>134</v>
      </c>
      <c r="C71">
        <f>$C$60-$C$67*$C$62/SQRT($C$64)</f>
        <v>0.90286551735117992</v>
      </c>
      <c r="D71" s="1" t="s">
        <v>131</v>
      </c>
      <c r="E71">
        <f>$C$60+$C$67*$C$62/SQRT($C$64)</f>
        <v>1.0258392813058801</v>
      </c>
      <c r="J71" s="86"/>
    </row>
    <row r="72" spans="2:10" x14ac:dyDescent="0.2">
      <c r="B72" s="126"/>
      <c r="D72" s="1"/>
      <c r="J72" s="86"/>
    </row>
    <row r="73" spans="2:10" x14ac:dyDescent="0.2">
      <c r="B73" s="85"/>
      <c r="J73" s="86"/>
    </row>
    <row r="74" spans="2:10" x14ac:dyDescent="0.2">
      <c r="B74" s="126" t="s">
        <v>132</v>
      </c>
      <c r="C74" s="137">
        <f>EXP(C69)+$C$5</f>
        <v>625501.47342737694</v>
      </c>
      <c r="D74" s="138" t="s">
        <v>138</v>
      </c>
      <c r="E74" s="139">
        <f>EXP(E69)+$C$5</f>
        <v>747214.53215962183</v>
      </c>
      <c r="F74" t="str">
        <f>Auswerteblatt!$H$5</f>
        <v>in Druckwechsel</v>
      </c>
      <c r="J74" s="86"/>
    </row>
    <row r="75" spans="2:10" x14ac:dyDescent="0.2">
      <c r="B75" s="85"/>
      <c r="J75" s="86"/>
    </row>
    <row r="76" spans="2:10" x14ac:dyDescent="0.2">
      <c r="B76" s="126" t="s">
        <v>136</v>
      </c>
      <c r="C76" s="140">
        <f>1/E71</f>
        <v>0.97481156963205096</v>
      </c>
      <c r="D76" s="141" t="s">
        <v>137</v>
      </c>
      <c r="E76" s="142">
        <f>1/C71</f>
        <v>1.1075846632550466</v>
      </c>
      <c r="J76" s="86"/>
    </row>
    <row r="77" spans="2:10" x14ac:dyDescent="0.2">
      <c r="B77" s="85"/>
      <c r="J77" s="86"/>
    </row>
    <row r="78" spans="2:10" x14ac:dyDescent="0.2">
      <c r="B78" s="85"/>
      <c r="C78" s="143" t="str">
        <f>IF(C5&lt;&gt;0,"Achtung: Im dreiparametrigen Fall ist der Vertrauensbereich mit Vorsicht zu interpretieren,","")</f>
        <v>Achtung: Im dreiparametrigen Fall ist der Vertrauensbereich mit Vorsicht zu interpretieren,</v>
      </c>
      <c r="J78" s="86"/>
    </row>
    <row r="79" spans="2:10" x14ac:dyDescent="0.2">
      <c r="B79" s="85"/>
      <c r="C79" s="143" t="str">
        <f>IF(C5&lt;&gt;0,"da die Unsicherheit der Schätzung der ausfallfreien Zeit nicht in die Rechnung eingeht!","")</f>
        <v>da die Unsicherheit der Schätzung der ausfallfreien Zeit nicht in die Rechnung eingeht!</v>
      </c>
      <c r="J79" s="86"/>
    </row>
    <row r="80" spans="2:10" ht="13.5" thickBot="1" x14ac:dyDescent="0.25">
      <c r="B80" s="81"/>
      <c r="C80" s="88"/>
      <c r="D80" s="88"/>
      <c r="E80" s="88"/>
      <c r="F80" s="88"/>
      <c r="G80" s="88"/>
      <c r="H80" s="88"/>
      <c r="I80" s="88"/>
      <c r="J80" s="82"/>
    </row>
  </sheetData>
  <sheetProtection sheet="1" objects="1" scenarios="1"/>
  <phoneticPr fontId="0" type="noConversion"/>
  <dataValidations count="5">
    <dataValidation type="whole" operator="greaterThanOrEqual" allowBlank="1" showInputMessage="1" showErrorMessage="1" errorTitle="Gültigkeitsprüfung:" error="Die Zahl der Systemkomponenten muss eine ganze Zahl &gt;= 1 sein!" sqref="C23">
      <formula1>1</formula1>
    </dataValidation>
    <dataValidation type="whole" allowBlank="1" showInputMessage="1" showErrorMessage="1" errorTitle="Gültigkeitsprüfung:" error="Die Zahl ausgefallener Einheiten muss eine ganze Zahl zwischen null und n sein!" sqref="C24">
      <formula1>0</formula1>
      <formula2>C23</formula2>
    </dataValidation>
    <dataValidation type="decimal" allowBlank="1" showInputMessage="1" showErrorMessage="1" errorTitle="Gültigkeitsprüfung" error="Die Überlebenswahrscheinlichkeit muss eine Dezimalzahl 0 &lt; R(t) &lt; 1 sein!" sqref="C35">
      <formula1>0</formula1>
      <formula2>1</formula2>
    </dataValidation>
    <dataValidation type="decimal" allowBlank="1" showInputMessage="1" showErrorMessage="1" errorTitle="Gültigkeitsprüfung" error="Das Vertrauensniveau muss eine Dezimalzahl 0,5 &lt; (1-alpha) &lt; 1 sein." sqref="C57">
      <formula1>0.5</formula1>
      <formula2>1</formula2>
    </dataValidation>
    <dataValidation type="decimal" operator="greaterThanOrEqual" allowBlank="1" showInputMessage="1" showErrorMessage="1" errorTitle="Gültigkeitsprüfung:" error="Die untere Spezifikationsgrenze muss eine Dezimalzahl USG &gt;= 0 sein." sqref="C43">
      <formula1>0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101" r:id="rId4">
          <objectPr defaultSize="0" r:id="rId5">
            <anchor moveWithCells="1">
              <from>
                <xdr:col>5</xdr:col>
                <xdr:colOff>19050</xdr:colOff>
                <xdr:row>10</xdr:row>
                <xdr:rowOff>133350</xdr:rowOff>
              </from>
              <to>
                <xdr:col>6</xdr:col>
                <xdr:colOff>466725</xdr:colOff>
                <xdr:row>13</xdr:row>
                <xdr:rowOff>161925</xdr:rowOff>
              </to>
            </anchor>
          </objectPr>
        </oleObject>
      </mc:Choice>
      <mc:Fallback>
        <oleObject progId="Equation.3" shapeId="4101" r:id="rId4"/>
      </mc:Fallback>
    </mc:AlternateContent>
    <mc:AlternateContent xmlns:mc="http://schemas.openxmlformats.org/markup-compatibility/2006">
      <mc:Choice Requires="x14">
        <oleObject progId="Equation.3" shapeId="4102" r:id="rId6">
          <objectPr defaultSize="0" r:id="rId7">
            <anchor moveWithCells="1">
              <from>
                <xdr:col>5</xdr:col>
                <xdr:colOff>19050</xdr:colOff>
                <xdr:row>14</xdr:row>
                <xdr:rowOff>142875</xdr:rowOff>
              </from>
              <to>
                <xdr:col>6</xdr:col>
                <xdr:colOff>57150</xdr:colOff>
                <xdr:row>16</xdr:row>
                <xdr:rowOff>47625</xdr:rowOff>
              </to>
            </anchor>
          </objectPr>
        </oleObject>
      </mc:Choice>
      <mc:Fallback>
        <oleObject progId="Equation.3" shapeId="4102" r:id="rId6"/>
      </mc:Fallback>
    </mc:AlternateContent>
    <mc:AlternateContent xmlns:mc="http://schemas.openxmlformats.org/markup-compatibility/2006">
      <mc:Choice Requires="x14">
        <oleObject progId="Equation.3" shapeId="4103" r:id="rId8">
          <objectPr defaultSize="0" r:id="rId9">
            <anchor moveWithCells="1">
              <from>
                <xdr:col>8</xdr:col>
                <xdr:colOff>9525</xdr:colOff>
                <xdr:row>12</xdr:row>
                <xdr:rowOff>142875</xdr:rowOff>
              </from>
              <to>
                <xdr:col>8</xdr:col>
                <xdr:colOff>762000</xdr:colOff>
                <xdr:row>14</xdr:row>
                <xdr:rowOff>95250</xdr:rowOff>
              </to>
            </anchor>
          </objectPr>
        </oleObject>
      </mc:Choice>
      <mc:Fallback>
        <oleObject progId="Equation.3" shapeId="4103" r:id="rId8"/>
      </mc:Fallback>
    </mc:AlternateContent>
    <mc:AlternateContent xmlns:mc="http://schemas.openxmlformats.org/markup-compatibility/2006">
      <mc:Choice Requires="x14">
        <oleObject progId="Equation.3" shapeId="4104" r:id="rId10">
          <objectPr defaultSize="0" r:id="rId11">
            <anchor moveWithCells="1">
              <from>
                <xdr:col>5</xdr:col>
                <xdr:colOff>28575</xdr:colOff>
                <xdr:row>16</xdr:row>
                <xdr:rowOff>123825</xdr:rowOff>
              </from>
              <to>
                <xdr:col>7</xdr:col>
                <xdr:colOff>323850</xdr:colOff>
                <xdr:row>19</xdr:row>
                <xdr:rowOff>133350</xdr:rowOff>
              </to>
            </anchor>
          </objectPr>
        </oleObject>
      </mc:Choice>
      <mc:Fallback>
        <oleObject progId="Equation.3" shapeId="4104" r:id="rId10"/>
      </mc:Fallback>
    </mc:AlternateContent>
    <mc:AlternateContent xmlns:mc="http://schemas.openxmlformats.org/markup-compatibility/2006">
      <mc:Choice Requires="x14">
        <oleObject progId="Equation.3" shapeId="4105" r:id="rId12">
          <objectPr defaultSize="0" r:id="rId13">
            <anchor moveWithCells="1">
              <from>
                <xdr:col>8</xdr:col>
                <xdr:colOff>38100</xdr:colOff>
                <xdr:row>17</xdr:row>
                <xdr:rowOff>133350</xdr:rowOff>
              </from>
              <to>
                <xdr:col>9</xdr:col>
                <xdr:colOff>9525</xdr:colOff>
                <xdr:row>19</xdr:row>
                <xdr:rowOff>38100</xdr:rowOff>
              </to>
            </anchor>
          </objectPr>
        </oleObject>
      </mc:Choice>
      <mc:Fallback>
        <oleObject progId="Equation.3" shapeId="4105" r:id="rId12"/>
      </mc:Fallback>
    </mc:AlternateContent>
    <mc:AlternateContent xmlns:mc="http://schemas.openxmlformats.org/markup-compatibility/2006">
      <mc:Choice Requires="x14">
        <oleObject progId="Equation.3" shapeId="4107" r:id="rId14">
          <objectPr defaultSize="0" r:id="rId15">
            <anchor moveWithCells="1">
              <from>
                <xdr:col>5</xdr:col>
                <xdr:colOff>19050</xdr:colOff>
                <xdr:row>25</xdr:row>
                <xdr:rowOff>161925</xdr:rowOff>
              </from>
              <to>
                <xdr:col>6</xdr:col>
                <xdr:colOff>742950</xdr:colOff>
                <xdr:row>27</xdr:row>
                <xdr:rowOff>28575</xdr:rowOff>
              </to>
            </anchor>
          </objectPr>
        </oleObject>
      </mc:Choice>
      <mc:Fallback>
        <oleObject progId="Equation.3" shapeId="4107" r:id="rId14"/>
      </mc:Fallback>
    </mc:AlternateContent>
    <mc:AlternateContent xmlns:mc="http://schemas.openxmlformats.org/markup-compatibility/2006">
      <mc:Choice Requires="x14">
        <oleObject progId="Equation.3" shapeId="4108" r:id="rId16">
          <objectPr defaultSize="0" r:id="rId17">
            <anchor moveWithCells="1">
              <from>
                <xdr:col>5</xdr:col>
                <xdr:colOff>9525</xdr:colOff>
                <xdr:row>48</xdr:row>
                <xdr:rowOff>9525</xdr:rowOff>
              </from>
              <to>
                <xdr:col>6</xdr:col>
                <xdr:colOff>400050</xdr:colOff>
                <xdr:row>50</xdr:row>
                <xdr:rowOff>123825</xdr:rowOff>
              </to>
            </anchor>
          </objectPr>
        </oleObject>
      </mc:Choice>
      <mc:Fallback>
        <oleObject progId="Equation.3" shapeId="4108" r:id="rId16"/>
      </mc:Fallback>
    </mc:AlternateContent>
    <mc:AlternateContent xmlns:mc="http://schemas.openxmlformats.org/markup-compatibility/2006">
      <mc:Choice Requires="x14">
        <oleObject progId="Equation.3" shapeId="4109" r:id="rId18">
          <objectPr defaultSize="0" r:id="rId19">
            <anchor moveWithCells="1">
              <from>
                <xdr:col>5</xdr:col>
                <xdr:colOff>19050</xdr:colOff>
                <xdr:row>35</xdr:row>
                <xdr:rowOff>95250</xdr:rowOff>
              </from>
              <to>
                <xdr:col>6</xdr:col>
                <xdr:colOff>723900</xdr:colOff>
                <xdr:row>37</xdr:row>
                <xdr:rowOff>38100</xdr:rowOff>
              </to>
            </anchor>
          </objectPr>
        </oleObject>
      </mc:Choice>
      <mc:Fallback>
        <oleObject progId="Equation.3" shapeId="4109" r:id="rId18"/>
      </mc:Fallback>
    </mc:AlternateContent>
    <mc:AlternateContent xmlns:mc="http://schemas.openxmlformats.org/markup-compatibility/2006">
      <mc:Choice Requires="x14">
        <oleObject progId="Equation.3" shapeId="4112" r:id="rId20">
          <objectPr defaultSize="0" r:id="rId21">
            <anchor moveWithCells="1">
              <from>
                <xdr:col>5</xdr:col>
                <xdr:colOff>152400</xdr:colOff>
                <xdr:row>66</xdr:row>
                <xdr:rowOff>0</xdr:rowOff>
              </from>
              <to>
                <xdr:col>9</xdr:col>
                <xdr:colOff>219075</xdr:colOff>
                <xdr:row>69</xdr:row>
                <xdr:rowOff>133350</xdr:rowOff>
              </to>
            </anchor>
          </objectPr>
        </oleObject>
      </mc:Choice>
      <mc:Fallback>
        <oleObject progId="Equation.3" shapeId="4112" r:id="rId20"/>
      </mc:Fallback>
    </mc:AlternateContent>
    <mc:AlternateContent xmlns:mc="http://schemas.openxmlformats.org/markup-compatibility/2006">
      <mc:Choice Requires="x14">
        <oleObject progId="Equation.3" shapeId="4113" r:id="rId22">
          <objectPr defaultSize="0" r:id="rId23">
            <anchor moveWithCells="1">
              <from>
                <xdr:col>5</xdr:col>
                <xdr:colOff>161925</xdr:colOff>
                <xdr:row>69</xdr:row>
                <xdr:rowOff>76200</xdr:rowOff>
              </from>
              <to>
                <xdr:col>8</xdr:col>
                <xdr:colOff>428625</xdr:colOff>
                <xdr:row>71</xdr:row>
                <xdr:rowOff>133350</xdr:rowOff>
              </to>
            </anchor>
          </objectPr>
        </oleObject>
      </mc:Choice>
      <mc:Fallback>
        <oleObject progId="Equation.3" shapeId="4113" r:id="rId22"/>
      </mc:Fallback>
    </mc:AlternateContent>
    <mc:AlternateContent xmlns:mc="http://schemas.openxmlformats.org/markup-compatibility/2006">
      <mc:Choice Requires="x14">
        <oleObject progId="Equation.3" shapeId="4114" r:id="rId24">
          <objectPr defaultSize="0" r:id="rId25">
            <anchor moveWithCells="1">
              <from>
                <xdr:col>7</xdr:col>
                <xdr:colOff>28575</xdr:colOff>
                <xdr:row>74</xdr:row>
                <xdr:rowOff>66675</xdr:rowOff>
              </from>
              <to>
                <xdr:col>9</xdr:col>
                <xdr:colOff>95250</xdr:colOff>
                <xdr:row>76</xdr:row>
                <xdr:rowOff>161925</xdr:rowOff>
              </to>
            </anchor>
          </objectPr>
        </oleObject>
      </mc:Choice>
      <mc:Fallback>
        <oleObject progId="Equation.3" shapeId="4114" r:id="rId24"/>
      </mc:Fallback>
    </mc:AlternateContent>
    <mc:AlternateContent xmlns:mc="http://schemas.openxmlformats.org/markup-compatibility/2006">
      <mc:Choice Requires="x14">
        <oleObject progId="Equation.3" shapeId="4115" r:id="rId26">
          <objectPr defaultSize="0" r:id="rId27">
            <anchor moveWithCells="1">
              <from>
                <xdr:col>7</xdr:col>
                <xdr:colOff>28575</xdr:colOff>
                <xdr:row>72</xdr:row>
                <xdr:rowOff>76200</xdr:rowOff>
              </from>
              <to>
                <xdr:col>9</xdr:col>
                <xdr:colOff>228600</xdr:colOff>
                <xdr:row>74</xdr:row>
                <xdr:rowOff>19050</xdr:rowOff>
              </to>
            </anchor>
          </objectPr>
        </oleObject>
      </mc:Choice>
      <mc:Fallback>
        <oleObject progId="Equation.3" shapeId="4115" r:id="rId2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Daten</vt:lpstr>
      <vt:lpstr>Auswerteblatt</vt:lpstr>
      <vt:lpstr>LN-Transfer</vt:lpstr>
      <vt:lpstr>R(t) Cpk VB</vt:lpstr>
      <vt:lpstr>Lebensdauernetz</vt:lpstr>
      <vt:lpstr>Auswerteblatt!Druckbereich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Weibull-Auswertung für Einzelwerte</dc:title>
  <dc:creator>Elmar Hillel</dc:creator>
  <cp:lastModifiedBy>Hillel</cp:lastModifiedBy>
  <cp:lastPrinted>2020-02-05T11:05:11Z</cp:lastPrinted>
  <dcterms:created xsi:type="dcterms:W3CDTF">1999-07-15T14:15:42Z</dcterms:created>
  <dcterms:modified xsi:type="dcterms:W3CDTF">2020-05-18T14:44:41Z</dcterms:modified>
</cp:coreProperties>
</file>