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030" windowHeight="6990"/>
  </bookViews>
  <sheets>
    <sheet name="Daten" sheetId="4" r:id="rId1"/>
    <sheet name="Auswerteblatt" sheetId="2" r:id="rId2"/>
    <sheet name="LN-Transfer" sheetId="3" state="hidden" r:id="rId3"/>
    <sheet name="Lebensdauernetz" sheetId="1" r:id="rId4"/>
    <sheet name="R(t) Cpk VB" sheetId="5" r:id="rId5"/>
  </sheets>
  <definedNames>
    <definedName name="_xlnm.Print_Area" localSheetId="1">Auswerteblatt!$B$1:$J$47</definedName>
    <definedName name="solver_adj" localSheetId="1" hidden="1">Auswerteblatt!$D$17</definedName>
    <definedName name="solver_adj" localSheetId="4" hidden="1">'R(t) Cpk VB'!$C$85</definedName>
    <definedName name="solver_cvg" localSheetId="1" hidden="1">0.001</definedName>
    <definedName name="solver_cvg" localSheetId="4" hidden="1">0.0001</definedName>
    <definedName name="solver_drv" localSheetId="1" hidden="1">2</definedName>
    <definedName name="solver_drv" localSheetId="4" hidden="1">1</definedName>
    <definedName name="solver_est" localSheetId="1" hidden="1">1</definedName>
    <definedName name="solver_est" localSheetId="4" hidden="1">1</definedName>
    <definedName name="solver_itr" localSheetId="1" hidden="1">1000</definedName>
    <definedName name="solver_itr" localSheetId="4" hidden="1">100</definedName>
    <definedName name="solver_lhs1" localSheetId="1" hidden="1">Auswerteblatt!$D$17</definedName>
    <definedName name="solver_lin" localSheetId="1" hidden="1">2</definedName>
    <definedName name="solver_lin" localSheetId="4" hidden="1">2</definedName>
    <definedName name="solver_neg" localSheetId="1" hidden="1">2</definedName>
    <definedName name="solver_neg" localSheetId="4" hidden="1">2</definedName>
    <definedName name="solver_num" localSheetId="1" hidden="1">1</definedName>
    <definedName name="solver_num" localSheetId="4" hidden="1">0</definedName>
    <definedName name="solver_nwt" localSheetId="1" hidden="1">1</definedName>
    <definedName name="solver_nwt" localSheetId="4" hidden="1">1</definedName>
    <definedName name="solver_opt" localSheetId="1" hidden="1">Auswerteblatt!$L$6</definedName>
    <definedName name="solver_opt" localSheetId="4" hidden="1">'R(t) Cpk VB'!$F$85</definedName>
    <definedName name="solver_pre" localSheetId="1" hidden="1">0.0000001</definedName>
    <definedName name="solver_pre" localSheetId="4" hidden="1">0.000001</definedName>
    <definedName name="solver_rel1" localSheetId="1" hidden="1">1</definedName>
    <definedName name="solver_rhs1" localSheetId="1" hidden="1">Auswerteblatt!$C$17</definedName>
    <definedName name="solver_scl" localSheetId="1" hidden="1">2</definedName>
    <definedName name="solver_scl" localSheetId="4" hidden="1">2</definedName>
    <definedName name="solver_sho" localSheetId="1" hidden="1">2</definedName>
    <definedName name="solver_sho" localSheetId="4" hidden="1">2</definedName>
    <definedName name="solver_tim" localSheetId="1" hidden="1">100</definedName>
    <definedName name="solver_tim" localSheetId="4" hidden="1">100</definedName>
    <definedName name="solver_tol" localSheetId="1" hidden="1">0.05</definedName>
    <definedName name="solver_tol" localSheetId="4" hidden="1">0.05</definedName>
    <definedName name="solver_typ" localSheetId="1" hidden="1">1</definedName>
    <definedName name="solver_typ" localSheetId="4" hidden="1">3</definedName>
    <definedName name="solver_val" localSheetId="1" hidden="1">0</definedName>
    <definedName name="solver_val" localSheetId="4" hidden="1">0</definedName>
  </definedNames>
  <calcPr calcId="145621" iterate="1"/>
</workbook>
</file>

<file path=xl/calcChain.xml><?xml version="1.0" encoding="utf-8"?>
<calcChain xmlns="http://schemas.openxmlformats.org/spreadsheetml/2006/main">
  <c r="C5" i="2" l="1"/>
  <c r="H5" i="2"/>
  <c r="H6" i="2"/>
  <c r="H7" i="2"/>
  <c r="H8" i="2"/>
  <c r="H9" i="2"/>
  <c r="H10" i="2"/>
  <c r="H11" i="2"/>
  <c r="C17" i="2"/>
  <c r="G17" i="2"/>
  <c r="B18" i="2"/>
  <c r="B19" i="2" s="1"/>
  <c r="C18" i="2"/>
  <c r="D18" i="2" s="1"/>
  <c r="C19" i="2"/>
  <c r="D19" i="2" s="1"/>
  <c r="I19" i="2"/>
  <c r="B20" i="2"/>
  <c r="C20" i="2"/>
  <c r="D20" i="2"/>
  <c r="B21" i="2"/>
  <c r="C21" i="2"/>
  <c r="D21" i="2" s="1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C22" i="2"/>
  <c r="D22" i="2" s="1"/>
  <c r="C23" i="2"/>
  <c r="C24" i="2"/>
  <c r="D24" i="2"/>
  <c r="C25" i="2"/>
  <c r="D25" i="2"/>
  <c r="C26" i="2"/>
  <c r="D26" i="2" s="1"/>
  <c r="C27" i="2"/>
  <c r="D27" i="2" s="1"/>
  <c r="C28" i="2"/>
  <c r="J28" i="2" s="1"/>
  <c r="L28" i="2" s="1"/>
  <c r="D28" i="2"/>
  <c r="M28" i="2"/>
  <c r="D30" i="3" s="1"/>
  <c r="E30" i="3" s="1"/>
  <c r="C29" i="2"/>
  <c r="D29" i="2" s="1"/>
  <c r="C30" i="2"/>
  <c r="D30" i="2" s="1"/>
  <c r="E30" i="2"/>
  <c r="G30" i="2"/>
  <c r="I30" i="2"/>
  <c r="J30" i="2"/>
  <c r="L30" i="2" s="1"/>
  <c r="C31" i="2"/>
  <c r="D31" i="2" s="1"/>
  <c r="G31" i="2"/>
  <c r="I31" i="2"/>
  <c r="E31" i="2" s="1"/>
  <c r="J31" i="2"/>
  <c r="C32" i="2"/>
  <c r="J32" i="2" s="1"/>
  <c r="M32" i="2" s="1"/>
  <c r="D32" i="2"/>
  <c r="E32" i="2"/>
  <c r="G32" i="2" s="1"/>
  <c r="I32" i="2"/>
  <c r="L32" i="2"/>
  <c r="N32" i="2" s="1"/>
  <c r="C33" i="2"/>
  <c r="D33" i="2"/>
  <c r="I33" i="2"/>
  <c r="E33" i="2" s="1"/>
  <c r="G33" i="2" s="1"/>
  <c r="J33" i="2"/>
  <c r="L33" i="2" s="1"/>
  <c r="M33" i="2"/>
  <c r="C34" i="2"/>
  <c r="D34" i="2" s="1"/>
  <c r="E34" i="2"/>
  <c r="G34" i="2"/>
  <c r="I34" i="2"/>
  <c r="J34" i="2"/>
  <c r="M34" i="2" s="1"/>
  <c r="L34" i="2"/>
  <c r="N34" i="2" s="1"/>
  <c r="C35" i="2"/>
  <c r="D35" i="2" s="1"/>
  <c r="I35" i="2"/>
  <c r="E35" i="2" s="1"/>
  <c r="G35" i="2" s="1"/>
  <c r="J35" i="2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C36" i="2"/>
  <c r="J36" i="2" s="1"/>
  <c r="D36" i="2"/>
  <c r="E36" i="2"/>
  <c r="G36" i="2"/>
  <c r="I36" i="2"/>
  <c r="C37" i="2"/>
  <c r="I37" i="2"/>
  <c r="E37" i="2" s="1"/>
  <c r="G37" i="2" s="1"/>
  <c r="C38" i="2"/>
  <c r="D38" i="2" s="1"/>
  <c r="E38" i="2"/>
  <c r="G38" i="2" s="1"/>
  <c r="I38" i="2"/>
  <c r="J38" i="2"/>
  <c r="L38" i="2"/>
  <c r="M38" i="2"/>
  <c r="C39" i="2"/>
  <c r="J39" i="2" s="1"/>
  <c r="E39" i="2"/>
  <c r="G39" i="2" s="1"/>
  <c r="I39" i="2"/>
  <c r="C40" i="2"/>
  <c r="J40" i="2" s="1"/>
  <c r="E40" i="2"/>
  <c r="G40" i="2" s="1"/>
  <c r="I40" i="2"/>
  <c r="C41" i="2"/>
  <c r="J41" i="2" s="1"/>
  <c r="D41" i="2"/>
  <c r="I41" i="2"/>
  <c r="E41" i="2" s="1"/>
  <c r="G41" i="2" s="1"/>
  <c r="C42" i="2"/>
  <c r="D42" i="2" s="1"/>
  <c r="I42" i="2"/>
  <c r="E42" i="2" s="1"/>
  <c r="G42" i="2" s="1"/>
  <c r="J42" i="2"/>
  <c r="M42" i="2" s="1"/>
  <c r="C43" i="2"/>
  <c r="D43" i="2" s="1"/>
  <c r="I43" i="2"/>
  <c r="E43" i="2" s="1"/>
  <c r="G43" i="2" s="1"/>
  <c r="J43" i="2"/>
  <c r="C44" i="2"/>
  <c r="J44" i="2" s="1"/>
  <c r="D44" i="2"/>
  <c r="G44" i="2"/>
  <c r="I44" i="2"/>
  <c r="E44" i="2" s="1"/>
  <c r="L44" i="2"/>
  <c r="M44" i="2"/>
  <c r="C45" i="2"/>
  <c r="D45" i="2" s="1"/>
  <c r="E45" i="2"/>
  <c r="G45" i="2" s="1"/>
  <c r="I45" i="2"/>
  <c r="J45" i="2"/>
  <c r="L45" i="2" s="1"/>
  <c r="N45" i="2" s="1"/>
  <c r="M45" i="2"/>
  <c r="C46" i="2"/>
  <c r="D46" i="2" s="1"/>
  <c r="E46" i="2"/>
  <c r="G46" i="2"/>
  <c r="I46" i="2"/>
  <c r="J46" i="2"/>
  <c r="M46" i="2" s="1"/>
  <c r="L46" i="2"/>
  <c r="N46" i="2" s="1"/>
  <c r="C47" i="2"/>
  <c r="D47" i="2"/>
  <c r="E47" i="2"/>
  <c r="G47" i="2" s="1"/>
  <c r="I47" i="2"/>
  <c r="J47" i="2"/>
  <c r="C48" i="2"/>
  <c r="J48" i="2" s="1"/>
  <c r="D48" i="2"/>
  <c r="I48" i="2"/>
  <c r="E48" i="2" s="1"/>
  <c r="G48" i="2" s="1"/>
  <c r="C49" i="2"/>
  <c r="I49" i="2"/>
  <c r="E49" i="2" s="1"/>
  <c r="G49" i="2" s="1"/>
  <c r="C50" i="2"/>
  <c r="E50" i="2"/>
  <c r="G50" i="2" s="1"/>
  <c r="I50" i="2"/>
  <c r="C51" i="2"/>
  <c r="J51" i="2" s="1"/>
  <c r="M51" i="2" s="1"/>
  <c r="D51" i="2"/>
  <c r="E51" i="2"/>
  <c r="G51" i="2" s="1"/>
  <c r="I51" i="2"/>
  <c r="L51" i="2"/>
  <c r="C52" i="2"/>
  <c r="J52" i="2" s="1"/>
  <c r="I52" i="2"/>
  <c r="E52" i="2" s="1"/>
  <c r="G52" i="2" s="1"/>
  <c r="L52" i="2"/>
  <c r="M52" i="2"/>
  <c r="C53" i="2"/>
  <c r="D53" i="2" s="1"/>
  <c r="I53" i="2"/>
  <c r="E53" i="2" s="1"/>
  <c r="G53" i="2" s="1"/>
  <c r="J53" i="2"/>
  <c r="L53" i="2"/>
  <c r="N53" i="2" s="1"/>
  <c r="M53" i="2"/>
  <c r="C54" i="2"/>
  <c r="D54" i="2" s="1"/>
  <c r="I54" i="2"/>
  <c r="E54" i="2" s="1"/>
  <c r="G54" i="2" s="1"/>
  <c r="J54" i="2"/>
  <c r="L54" i="2" s="1"/>
  <c r="M54" i="2"/>
  <c r="N54" i="2"/>
  <c r="C55" i="2"/>
  <c r="D55" i="2" s="1"/>
  <c r="G55" i="2"/>
  <c r="I55" i="2"/>
  <c r="E55" i="2" s="1"/>
  <c r="J55" i="2"/>
  <c r="M55" i="2" s="1"/>
  <c r="L55" i="2"/>
  <c r="N55" i="2" s="1"/>
  <c r="C56" i="2"/>
  <c r="J56" i="2" s="1"/>
  <c r="E56" i="2"/>
  <c r="G56" i="2" s="1"/>
  <c r="I56" i="2"/>
  <c r="L56" i="2"/>
  <c r="N56" i="2" s="1"/>
  <c r="M56" i="2"/>
  <c r="C57" i="2"/>
  <c r="D57" i="2"/>
  <c r="I57" i="2"/>
  <c r="E57" i="2" s="1"/>
  <c r="G57" i="2" s="1"/>
  <c r="J57" i="2"/>
  <c r="C58" i="2"/>
  <c r="D58" i="2" s="1"/>
  <c r="E58" i="2"/>
  <c r="G58" i="2"/>
  <c r="I58" i="2"/>
  <c r="J58" i="2"/>
  <c r="C59" i="2"/>
  <c r="J59" i="2" s="1"/>
  <c r="D59" i="2"/>
  <c r="E59" i="2"/>
  <c r="G59" i="2" s="1"/>
  <c r="I59" i="2"/>
  <c r="C60" i="2"/>
  <c r="J60" i="2" s="1"/>
  <c r="D60" i="2"/>
  <c r="E60" i="2"/>
  <c r="G60" i="2" s="1"/>
  <c r="I60" i="2"/>
  <c r="C61" i="2"/>
  <c r="J61" i="2" s="1"/>
  <c r="L61" i="2" s="1"/>
  <c r="E61" i="2"/>
  <c r="G61" i="2" s="1"/>
  <c r="I61" i="2"/>
  <c r="M61" i="2"/>
  <c r="N61" i="2"/>
  <c r="C62" i="2"/>
  <c r="E62" i="2"/>
  <c r="G62" i="2" s="1"/>
  <c r="I62" i="2"/>
  <c r="C63" i="2"/>
  <c r="I63" i="2"/>
  <c r="E63" i="2" s="1"/>
  <c r="G63" i="2" s="1"/>
  <c r="C64" i="2"/>
  <c r="I64" i="2"/>
  <c r="E64" i="2" s="1"/>
  <c r="G64" i="2" s="1"/>
  <c r="C65" i="2"/>
  <c r="D65" i="2"/>
  <c r="I65" i="2"/>
  <c r="E65" i="2" s="1"/>
  <c r="G65" i="2" s="1"/>
  <c r="J65" i="2"/>
  <c r="C66" i="2"/>
  <c r="D66" i="2" s="1"/>
  <c r="I66" i="2"/>
  <c r="E66" i="2" s="1"/>
  <c r="G66" i="2" s="1"/>
  <c r="J66" i="2"/>
  <c r="C67" i="2"/>
  <c r="D67" i="2" s="1"/>
  <c r="I67" i="2"/>
  <c r="E67" i="2" s="1"/>
  <c r="G67" i="2" s="1"/>
  <c r="J67" i="2"/>
  <c r="M67" i="2" s="1"/>
  <c r="L67" i="2"/>
  <c r="N67" i="2" s="1"/>
  <c r="C68" i="2"/>
  <c r="J68" i="2" s="1"/>
  <c r="M68" i="2" s="1"/>
  <c r="D68" i="2"/>
  <c r="E68" i="2"/>
  <c r="G68" i="2"/>
  <c r="I68" i="2"/>
  <c r="L68" i="2"/>
  <c r="C69" i="2"/>
  <c r="J69" i="2" s="1"/>
  <c r="D69" i="2"/>
  <c r="E69" i="2"/>
  <c r="G69" i="2" s="1"/>
  <c r="I69" i="2"/>
  <c r="C70" i="2"/>
  <c r="I70" i="2"/>
  <c r="E70" i="2" s="1"/>
  <c r="G70" i="2" s="1"/>
  <c r="C71" i="2"/>
  <c r="J71" i="2" s="1"/>
  <c r="E71" i="2"/>
  <c r="G71" i="2" s="1"/>
  <c r="I71" i="2"/>
  <c r="C72" i="2"/>
  <c r="E72" i="2"/>
  <c r="G72" i="2" s="1"/>
  <c r="I72" i="2"/>
  <c r="C73" i="2"/>
  <c r="J73" i="2" s="1"/>
  <c r="D73" i="2"/>
  <c r="I73" i="2"/>
  <c r="E73" i="2" s="1"/>
  <c r="G73" i="2" s="1"/>
  <c r="C74" i="2"/>
  <c r="I74" i="2"/>
  <c r="E74" i="2" s="1"/>
  <c r="G74" i="2" s="1"/>
  <c r="C75" i="2"/>
  <c r="D75" i="2" s="1"/>
  <c r="I75" i="2"/>
  <c r="E75" i="2" s="1"/>
  <c r="G75" i="2" s="1"/>
  <c r="J75" i="2"/>
  <c r="C76" i="2"/>
  <c r="J76" i="2" s="1"/>
  <c r="D76" i="2"/>
  <c r="I76" i="2"/>
  <c r="E76" i="2" s="1"/>
  <c r="G76" i="2" s="1"/>
  <c r="L76" i="2"/>
  <c r="M76" i="2"/>
  <c r="N76" i="2"/>
  <c r="C77" i="2"/>
  <c r="D77" i="2" s="1"/>
  <c r="I77" i="2"/>
  <c r="E77" i="2" s="1"/>
  <c r="G77" i="2" s="1"/>
  <c r="J77" i="2"/>
  <c r="L77" i="2"/>
  <c r="N77" i="2" s="1"/>
  <c r="M77" i="2"/>
  <c r="C78" i="2"/>
  <c r="D78" i="2" s="1"/>
  <c r="E78" i="2"/>
  <c r="G78" i="2" s="1"/>
  <c r="I78" i="2"/>
  <c r="J78" i="2"/>
  <c r="M78" i="2" s="1"/>
  <c r="C79" i="2"/>
  <c r="D79" i="2"/>
  <c r="E79" i="2"/>
  <c r="G79" i="2"/>
  <c r="I79" i="2"/>
  <c r="J79" i="2"/>
  <c r="C80" i="2"/>
  <c r="J80" i="2" s="1"/>
  <c r="I80" i="2"/>
  <c r="E80" i="2" s="1"/>
  <c r="G80" i="2" s="1"/>
  <c r="C81" i="2"/>
  <c r="J81" i="2" s="1"/>
  <c r="E81" i="2"/>
  <c r="G81" i="2" s="1"/>
  <c r="I81" i="2"/>
  <c r="C82" i="2"/>
  <c r="E82" i="2"/>
  <c r="G82" i="2" s="1"/>
  <c r="I82" i="2"/>
  <c r="C83" i="2"/>
  <c r="J83" i="2" s="1"/>
  <c r="E83" i="2"/>
  <c r="G83" i="2" s="1"/>
  <c r="I83" i="2"/>
  <c r="C84" i="2"/>
  <c r="D84" i="2"/>
  <c r="I84" i="2"/>
  <c r="E84" i="2" s="1"/>
  <c r="G84" i="2" s="1"/>
  <c r="J84" i="2"/>
  <c r="M84" i="2" s="1"/>
  <c r="L84" i="2"/>
  <c r="C85" i="2"/>
  <c r="D85" i="2"/>
  <c r="G85" i="2"/>
  <c r="I85" i="2"/>
  <c r="E85" i="2" s="1"/>
  <c r="J85" i="2"/>
  <c r="C86" i="2"/>
  <c r="D86" i="2"/>
  <c r="I86" i="2"/>
  <c r="E86" i="2" s="1"/>
  <c r="G86" i="2" s="1"/>
  <c r="J86" i="2"/>
  <c r="C87" i="2"/>
  <c r="J87" i="2" s="1"/>
  <c r="L87" i="2" s="1"/>
  <c r="D87" i="2"/>
  <c r="E87" i="2"/>
  <c r="G87" i="2"/>
  <c r="I87" i="2"/>
  <c r="M87" i="2"/>
  <c r="N87" i="2"/>
  <c r="C88" i="2"/>
  <c r="D88" i="2"/>
  <c r="I88" i="2"/>
  <c r="E88" i="2" s="1"/>
  <c r="G88" i="2" s="1"/>
  <c r="J88" i="2"/>
  <c r="C89" i="2"/>
  <c r="D89" i="2"/>
  <c r="I89" i="2"/>
  <c r="E89" i="2" s="1"/>
  <c r="G89" i="2" s="1"/>
  <c r="J89" i="2"/>
  <c r="M89" i="2" s="1"/>
  <c r="L89" i="2"/>
  <c r="C90" i="2"/>
  <c r="D90" i="2"/>
  <c r="I90" i="2"/>
  <c r="E90" i="2" s="1"/>
  <c r="G90" i="2" s="1"/>
  <c r="J90" i="2"/>
  <c r="C91" i="2"/>
  <c r="E91" i="2"/>
  <c r="G91" i="2"/>
  <c r="I91" i="2"/>
  <c r="C92" i="2"/>
  <c r="I92" i="2"/>
  <c r="E92" i="2" s="1"/>
  <c r="G92" i="2" s="1"/>
  <c r="C93" i="2"/>
  <c r="D93" i="2" s="1"/>
  <c r="G93" i="2"/>
  <c r="I93" i="2"/>
  <c r="E93" i="2" s="1"/>
  <c r="J93" i="2"/>
  <c r="L93" i="2" s="1"/>
  <c r="N93" i="2" s="1"/>
  <c r="M93" i="2"/>
  <c r="C94" i="2"/>
  <c r="D94" i="2"/>
  <c r="E94" i="2"/>
  <c r="G94" i="2" s="1"/>
  <c r="I94" i="2"/>
  <c r="J94" i="2"/>
  <c r="C95" i="2"/>
  <c r="E95" i="2"/>
  <c r="G95" i="2" s="1"/>
  <c r="I95" i="2"/>
  <c r="C96" i="2"/>
  <c r="D96" i="2" s="1"/>
  <c r="I96" i="2"/>
  <c r="E96" i="2" s="1"/>
  <c r="G96" i="2" s="1"/>
  <c r="J96" i="2"/>
  <c r="C97" i="2"/>
  <c r="D97" i="2" s="1"/>
  <c r="I97" i="2"/>
  <c r="E97" i="2" s="1"/>
  <c r="G97" i="2" s="1"/>
  <c r="J97" i="2"/>
  <c r="C98" i="2"/>
  <c r="D98" i="2"/>
  <c r="E98" i="2"/>
  <c r="G98" i="2"/>
  <c r="I98" i="2"/>
  <c r="J98" i="2"/>
  <c r="C99" i="2"/>
  <c r="J99" i="2" s="1"/>
  <c r="L99" i="2" s="1"/>
  <c r="D99" i="2"/>
  <c r="E99" i="2"/>
  <c r="G99" i="2"/>
  <c r="I99" i="2"/>
  <c r="M99" i="2"/>
  <c r="N99" i="2"/>
  <c r="C100" i="2"/>
  <c r="D100" i="2" s="1"/>
  <c r="I100" i="2"/>
  <c r="E100" i="2" s="1"/>
  <c r="G100" i="2" s="1"/>
  <c r="J100" i="2"/>
  <c r="L100" i="2"/>
  <c r="M100" i="2"/>
  <c r="N100" i="2"/>
  <c r="C101" i="2"/>
  <c r="D101" i="2" s="1"/>
  <c r="G101" i="2"/>
  <c r="I101" i="2"/>
  <c r="E101" i="2" s="1"/>
  <c r="J101" i="2"/>
  <c r="C102" i="2"/>
  <c r="D102" i="2"/>
  <c r="E102" i="2"/>
  <c r="G102" i="2" s="1"/>
  <c r="I102" i="2"/>
  <c r="J102" i="2"/>
  <c r="C103" i="2"/>
  <c r="J103" i="2" s="1"/>
  <c r="D103" i="2"/>
  <c r="E103" i="2"/>
  <c r="G103" i="2" s="1"/>
  <c r="I103" i="2"/>
  <c r="C104" i="2"/>
  <c r="J104" i="2" s="1"/>
  <c r="D104" i="2"/>
  <c r="E104" i="2"/>
  <c r="G104" i="2" s="1"/>
  <c r="I104" i="2"/>
  <c r="C105" i="2"/>
  <c r="E105" i="2"/>
  <c r="G105" i="2" s="1"/>
  <c r="I105" i="2"/>
  <c r="C106" i="2"/>
  <c r="D106" i="2" s="1"/>
  <c r="E106" i="2"/>
  <c r="G106" i="2" s="1"/>
  <c r="I106" i="2"/>
  <c r="J106" i="2"/>
  <c r="M106" i="2" s="1"/>
  <c r="C107" i="2"/>
  <c r="J107" i="2" s="1"/>
  <c r="I107" i="2"/>
  <c r="E107" i="2" s="1"/>
  <c r="G107" i="2" s="1"/>
  <c r="L107" i="2"/>
  <c r="M107" i="2"/>
  <c r="N107" i="2"/>
  <c r="C108" i="2"/>
  <c r="D108" i="2" s="1"/>
  <c r="I108" i="2"/>
  <c r="E108" i="2" s="1"/>
  <c r="G108" i="2" s="1"/>
  <c r="J108" i="2"/>
  <c r="L108" i="2" s="1"/>
  <c r="M108" i="2"/>
  <c r="C109" i="2"/>
  <c r="D109" i="2" s="1"/>
  <c r="I109" i="2"/>
  <c r="E109" i="2" s="1"/>
  <c r="G109" i="2" s="1"/>
  <c r="J109" i="2"/>
  <c r="C110" i="2"/>
  <c r="D110" i="2" s="1"/>
  <c r="I110" i="2"/>
  <c r="E110" i="2" s="1"/>
  <c r="G110" i="2" s="1"/>
  <c r="J110" i="2"/>
  <c r="C111" i="2"/>
  <c r="J111" i="2" s="1"/>
  <c r="D111" i="2"/>
  <c r="I111" i="2"/>
  <c r="E111" i="2" s="1"/>
  <c r="G111" i="2" s="1"/>
  <c r="L111" i="2"/>
  <c r="N111" i="2" s="1"/>
  <c r="M111" i="2"/>
  <c r="C112" i="2"/>
  <c r="J112" i="2" s="1"/>
  <c r="D112" i="2"/>
  <c r="E112" i="2"/>
  <c r="G112" i="2" s="1"/>
  <c r="I112" i="2"/>
  <c r="C113" i="2"/>
  <c r="E113" i="2"/>
  <c r="G113" i="2"/>
  <c r="I113" i="2"/>
  <c r="C114" i="2"/>
  <c r="E114" i="2"/>
  <c r="G114" i="2" s="1"/>
  <c r="I114" i="2"/>
  <c r="C115" i="2"/>
  <c r="J115" i="2" s="1"/>
  <c r="L115" i="2" s="1"/>
  <c r="D115" i="2"/>
  <c r="E115" i="2"/>
  <c r="G115" i="2" s="1"/>
  <c r="I115" i="2"/>
  <c r="M115" i="2"/>
  <c r="N115" i="2"/>
  <c r="C116" i="2"/>
  <c r="E116" i="2"/>
  <c r="G116" i="2" s="1"/>
  <c r="I116" i="2"/>
  <c r="C117" i="2"/>
  <c r="D117" i="2" s="1"/>
  <c r="E117" i="2"/>
  <c r="G117" i="2" s="1"/>
  <c r="I117" i="2"/>
  <c r="J117" i="2"/>
  <c r="M117" i="2" s="1"/>
  <c r="L117" i="2"/>
  <c r="N117" i="2" s="1"/>
  <c r="B11" i="4"/>
  <c r="D17" i="4"/>
  <c r="AA17" i="4"/>
  <c r="D18" i="4"/>
  <c r="AA18" i="4"/>
  <c r="D19" i="4"/>
  <c r="I20" i="2" s="1"/>
  <c r="AA19" i="4"/>
  <c r="D20" i="4"/>
  <c r="I21" i="2" s="1"/>
  <c r="AA20" i="4"/>
  <c r="D21" i="4"/>
  <c r="I22" i="2" s="1"/>
  <c r="AA21" i="4"/>
  <c r="D22" i="4"/>
  <c r="I23" i="2" s="1"/>
  <c r="AA22" i="4"/>
  <c r="D23" i="4"/>
  <c r="I24" i="2" s="1"/>
  <c r="AA23" i="4"/>
  <c r="D24" i="4"/>
  <c r="I25" i="2" s="1"/>
  <c r="AA24" i="4"/>
  <c r="D25" i="4"/>
  <c r="I26" i="2" s="1"/>
  <c r="AA25" i="4"/>
  <c r="D26" i="4"/>
  <c r="I27" i="2" s="1"/>
  <c r="AA26" i="4"/>
  <c r="D27" i="4"/>
  <c r="I28" i="2" s="1"/>
  <c r="D28" i="4"/>
  <c r="I29" i="2" s="1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B1" i="3"/>
  <c r="B2" i="3"/>
  <c r="B3" i="3"/>
  <c r="C16" i="3" s="1"/>
  <c r="A16" i="3" s="1"/>
  <c r="B7" i="3"/>
  <c r="E12" i="3"/>
  <c r="E13" i="3"/>
  <c r="F13" i="3"/>
  <c r="E14" i="3"/>
  <c r="E15" i="3"/>
  <c r="F15" i="3"/>
  <c r="B20" i="3"/>
  <c r="C20" i="3"/>
  <c r="G20" i="3"/>
  <c r="H20" i="3" s="1"/>
  <c r="M20" i="3"/>
  <c r="P20" i="3"/>
  <c r="G21" i="3"/>
  <c r="H21" i="3"/>
  <c r="I21" i="3"/>
  <c r="I22" i="3" s="1"/>
  <c r="P21" i="3"/>
  <c r="G22" i="3"/>
  <c r="H22" i="3" s="1"/>
  <c r="P22" i="3"/>
  <c r="G23" i="3"/>
  <c r="H23" i="3"/>
  <c r="I23" i="3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P23" i="3"/>
  <c r="G24" i="3"/>
  <c r="H24" i="3" s="1"/>
  <c r="M24" i="3"/>
  <c r="P24" i="3"/>
  <c r="G25" i="3"/>
  <c r="H25" i="3" s="1"/>
  <c r="P25" i="3"/>
  <c r="G26" i="3"/>
  <c r="H26" i="3" s="1"/>
  <c r="P26" i="3"/>
  <c r="G27" i="3"/>
  <c r="H27" i="3" s="1"/>
  <c r="M27" i="3"/>
  <c r="P27" i="3"/>
  <c r="G28" i="3"/>
  <c r="H28" i="3" s="1"/>
  <c r="M28" i="3"/>
  <c r="P28" i="3"/>
  <c r="G29" i="3"/>
  <c r="H29" i="3"/>
  <c r="P29" i="3"/>
  <c r="G30" i="3"/>
  <c r="H30" i="3" s="1"/>
  <c r="P30" i="3"/>
  <c r="G31" i="3"/>
  <c r="H31" i="3" s="1"/>
  <c r="M31" i="3"/>
  <c r="P31" i="3"/>
  <c r="G32" i="3"/>
  <c r="H32" i="3" s="1"/>
  <c r="P32" i="3"/>
  <c r="G33" i="3"/>
  <c r="H33" i="3" s="1"/>
  <c r="P33" i="3"/>
  <c r="F34" i="3"/>
  <c r="G34" i="3" s="1"/>
  <c r="H34" i="3" s="1"/>
  <c r="P34" i="3"/>
  <c r="G35" i="3"/>
  <c r="H35" i="3" s="1"/>
  <c r="P35" i="3"/>
  <c r="G36" i="3"/>
  <c r="H36" i="3" s="1"/>
  <c r="I36" i="3"/>
  <c r="I37" i="3" s="1"/>
  <c r="I38" i="3" s="1"/>
  <c r="I39" i="3" s="1"/>
  <c r="I40" i="3" s="1"/>
  <c r="P36" i="3"/>
  <c r="G37" i="3"/>
  <c r="H37" i="3" s="1"/>
  <c r="P37" i="3"/>
  <c r="G38" i="3"/>
  <c r="H38" i="3" s="1"/>
  <c r="P38" i="3"/>
  <c r="G39" i="3"/>
  <c r="H39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C5" i="5"/>
  <c r="D11" i="5"/>
  <c r="D19" i="5"/>
  <c r="D37" i="5"/>
  <c r="D43" i="5"/>
  <c r="D45" i="5"/>
  <c r="D47" i="5"/>
  <c r="F80" i="5"/>
  <c r="D85" i="5"/>
  <c r="N89" i="2" l="1"/>
  <c r="L86" i="2"/>
  <c r="M86" i="2"/>
  <c r="D63" i="2"/>
  <c r="J63" i="2"/>
  <c r="E26" i="2"/>
  <c r="J26" i="2"/>
  <c r="D37" i="2"/>
  <c r="J37" i="2"/>
  <c r="D116" i="2"/>
  <c r="J116" i="2"/>
  <c r="L104" i="2"/>
  <c r="M104" i="2"/>
  <c r="J91" i="2"/>
  <c r="D91" i="2"/>
  <c r="D74" i="2"/>
  <c r="J74" i="2"/>
  <c r="L31" i="2"/>
  <c r="M31" i="2"/>
  <c r="J114" i="2"/>
  <c r="D114" i="2"/>
  <c r="M43" i="2"/>
  <c r="L43" i="2"/>
  <c r="L102" i="2"/>
  <c r="M102" i="2"/>
  <c r="L96" i="2"/>
  <c r="M96" i="2"/>
  <c r="L90" i="2"/>
  <c r="M90" i="2"/>
  <c r="L85" i="2"/>
  <c r="M85" i="2"/>
  <c r="N68" i="2"/>
  <c r="D50" i="2"/>
  <c r="J50" i="2"/>
  <c r="N44" i="2"/>
  <c r="L42" i="2"/>
  <c r="L101" i="2"/>
  <c r="M101" i="2"/>
  <c r="M75" i="2"/>
  <c r="L75" i="2"/>
  <c r="M57" i="2"/>
  <c r="L57" i="2"/>
  <c r="N30" i="2"/>
  <c r="L98" i="2"/>
  <c r="M98" i="2"/>
  <c r="E22" i="2"/>
  <c r="J22" i="2"/>
  <c r="L88" i="2"/>
  <c r="M88" i="2"/>
  <c r="N51" i="2"/>
  <c r="J95" i="2"/>
  <c r="D95" i="2"/>
  <c r="I18" i="2"/>
  <c r="B7" i="4"/>
  <c r="B12" i="4" s="1"/>
  <c r="M59" i="2"/>
  <c r="L59" i="2"/>
  <c r="M109" i="2"/>
  <c r="L109" i="2"/>
  <c r="N108" i="2"/>
  <c r="L106" i="2"/>
  <c r="L73" i="2"/>
  <c r="M73" i="2"/>
  <c r="M66" i="2"/>
  <c r="L66" i="2"/>
  <c r="J64" i="2"/>
  <c r="D64" i="2"/>
  <c r="D82" i="2"/>
  <c r="J82" i="2"/>
  <c r="J72" i="2"/>
  <c r="D72" i="2"/>
  <c r="L41" i="2"/>
  <c r="M41" i="2"/>
  <c r="D87" i="5"/>
  <c r="E27" i="2"/>
  <c r="J27" i="2"/>
  <c r="E23" i="2"/>
  <c r="L112" i="2"/>
  <c r="M112" i="2"/>
  <c r="M110" i="2"/>
  <c r="L110" i="2"/>
  <c r="D105" i="2"/>
  <c r="J105" i="2"/>
  <c r="D92" i="2"/>
  <c r="J92" i="2"/>
  <c r="L36" i="2"/>
  <c r="M36" i="2"/>
  <c r="J23" i="2"/>
  <c r="D23" i="2"/>
  <c r="M33" i="3"/>
  <c r="D113" i="2"/>
  <c r="J113" i="2"/>
  <c r="D83" i="2"/>
  <c r="L58" i="2"/>
  <c r="M58" i="2"/>
  <c r="D40" i="2"/>
  <c r="N38" i="2"/>
  <c r="N28" i="2"/>
  <c r="B30" i="3"/>
  <c r="C91" i="5"/>
  <c r="C92" i="5"/>
  <c r="N84" i="2"/>
  <c r="L40" i="2"/>
  <c r="M40" i="2"/>
  <c r="J19" i="2"/>
  <c r="E25" i="2"/>
  <c r="J25" i="2"/>
  <c r="M83" i="2"/>
  <c r="L83" i="2"/>
  <c r="C30" i="3"/>
  <c r="L103" i="2"/>
  <c r="M103" i="2"/>
  <c r="L97" i="2"/>
  <c r="M97" i="2"/>
  <c r="L69" i="2"/>
  <c r="M69" i="2"/>
  <c r="L65" i="2"/>
  <c r="M65" i="2"/>
  <c r="N52" i="2"/>
  <c r="J49" i="2"/>
  <c r="D49" i="2"/>
  <c r="N33" i="2"/>
  <c r="E24" i="2"/>
  <c r="D80" i="2"/>
  <c r="L78" i="2"/>
  <c r="D70" i="2"/>
  <c r="J70" i="2"/>
  <c r="D61" i="2"/>
  <c r="L60" i="2"/>
  <c r="M60" i="2"/>
  <c r="D52" i="2"/>
  <c r="E21" i="2"/>
  <c r="L94" i="2"/>
  <c r="M94" i="2"/>
  <c r="L80" i="2"/>
  <c r="M80" i="2"/>
  <c r="L35" i="2"/>
  <c r="M35" i="2"/>
  <c r="J24" i="2"/>
  <c r="E29" i="2"/>
  <c r="D107" i="2"/>
  <c r="D81" i="2"/>
  <c r="M79" i="2"/>
  <c r="L79" i="2"/>
  <c r="D71" i="2"/>
  <c r="D62" i="2"/>
  <c r="J62" i="2"/>
  <c r="L48" i="2"/>
  <c r="M48" i="2"/>
  <c r="D39" i="2"/>
  <c r="E28" i="2"/>
  <c r="E20" i="2"/>
  <c r="L81" i="2"/>
  <c r="M81" i="2"/>
  <c r="M71" i="2"/>
  <c r="L71" i="2"/>
  <c r="M47" i="2"/>
  <c r="L47" i="2"/>
  <c r="L39" i="2"/>
  <c r="M39" i="2"/>
  <c r="J29" i="2"/>
  <c r="D56" i="2"/>
  <c r="M30" i="2"/>
  <c r="J21" i="2"/>
  <c r="J20" i="2"/>
  <c r="L113" i="2" l="1"/>
  <c r="M113" i="2"/>
  <c r="E18" i="2"/>
  <c r="G18" i="2" s="1"/>
  <c r="J18" i="2"/>
  <c r="N57" i="2"/>
  <c r="M116" i="2"/>
  <c r="L116" i="2"/>
  <c r="L29" i="2"/>
  <c r="M29" i="2"/>
  <c r="D31" i="3" s="1"/>
  <c r="E31" i="3" s="1"/>
  <c r="N35" i="2"/>
  <c r="N60" i="2"/>
  <c r="N69" i="2"/>
  <c r="L92" i="2"/>
  <c r="M92" i="2"/>
  <c r="L64" i="2"/>
  <c r="M64" i="2"/>
  <c r="N85" i="2"/>
  <c r="N43" i="2"/>
  <c r="N79" i="2"/>
  <c r="L27" i="2"/>
  <c r="M27" i="2"/>
  <c r="D29" i="3" s="1"/>
  <c r="E29" i="3" s="1"/>
  <c r="N66" i="2"/>
  <c r="L95" i="2"/>
  <c r="M95" i="2"/>
  <c r="L22" i="2"/>
  <c r="M22" i="2"/>
  <c r="D24" i="3" s="1"/>
  <c r="E24" i="3" s="1"/>
  <c r="N75" i="2"/>
  <c r="L37" i="2"/>
  <c r="M37" i="2"/>
  <c r="N83" i="2"/>
  <c r="L74" i="2"/>
  <c r="M74" i="2"/>
  <c r="N81" i="2"/>
  <c r="L70" i="2"/>
  <c r="M70" i="2"/>
  <c r="L91" i="2"/>
  <c r="M91" i="2"/>
  <c r="N47" i="2"/>
  <c r="L72" i="2"/>
  <c r="M72" i="2"/>
  <c r="L20" i="2"/>
  <c r="M20" i="2"/>
  <c r="D22" i="3" s="1"/>
  <c r="E22" i="3" s="1"/>
  <c r="N94" i="2"/>
  <c r="N78" i="2"/>
  <c r="N103" i="2"/>
  <c r="L19" i="2"/>
  <c r="M19" i="2"/>
  <c r="D21" i="3" s="1"/>
  <c r="E21" i="3" s="1"/>
  <c r="N58" i="2"/>
  <c r="L23" i="2"/>
  <c r="M23" i="2"/>
  <c r="D25" i="3" s="1"/>
  <c r="E25" i="3" s="1"/>
  <c r="N110" i="2"/>
  <c r="L82" i="2"/>
  <c r="M82" i="2"/>
  <c r="N73" i="2"/>
  <c r="N59" i="2"/>
  <c r="N98" i="2"/>
  <c r="N101" i="2"/>
  <c r="M114" i="2"/>
  <c r="L114" i="2"/>
  <c r="N104" i="2"/>
  <c r="M26" i="2"/>
  <c r="D28" i="3" s="1"/>
  <c r="E28" i="3" s="1"/>
  <c r="L26" i="2"/>
  <c r="N40" i="2"/>
  <c r="M63" i="2"/>
  <c r="L63" i="2"/>
  <c r="N39" i="2"/>
  <c r="N80" i="2"/>
  <c r="N97" i="2"/>
  <c r="L50" i="2"/>
  <c r="M50" i="2"/>
  <c r="N86" i="2"/>
  <c r="L49" i="2"/>
  <c r="M49" i="2"/>
  <c r="L21" i="2"/>
  <c r="M21" i="2"/>
  <c r="D23" i="3" s="1"/>
  <c r="E23" i="3" s="1"/>
  <c r="N96" i="2"/>
  <c r="N112" i="2"/>
  <c r="N102" i="2"/>
  <c r="L25" i="2"/>
  <c r="M25" i="2"/>
  <c r="D27" i="3" s="1"/>
  <c r="E27" i="3" s="1"/>
  <c r="L105" i="2"/>
  <c r="M105" i="2"/>
  <c r="N109" i="2"/>
  <c r="N90" i="2"/>
  <c r="N71" i="2"/>
  <c r="N48" i="2"/>
  <c r="E19" i="2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D32" i="3"/>
  <c r="E32" i="3" s="1"/>
  <c r="M62" i="2"/>
  <c r="L62" i="2"/>
  <c r="L24" i="2"/>
  <c r="M24" i="2"/>
  <c r="D26" i="3" s="1"/>
  <c r="E26" i="3" s="1"/>
  <c r="N65" i="2"/>
  <c r="N36" i="2"/>
  <c r="N41" i="2"/>
  <c r="N106" i="2"/>
  <c r="N88" i="2"/>
  <c r="N42" i="2"/>
  <c r="N31" i="2"/>
  <c r="N37" i="2" l="1"/>
  <c r="N26" i="2"/>
  <c r="B28" i="3"/>
  <c r="C28" i="3"/>
  <c r="N95" i="2"/>
  <c r="N72" i="2"/>
  <c r="N23" i="2"/>
  <c r="B25" i="3"/>
  <c r="C25" i="3"/>
  <c r="L18" i="2"/>
  <c r="M18" i="2"/>
  <c r="N91" i="2"/>
  <c r="N74" i="2"/>
  <c r="N49" i="2"/>
  <c r="N63" i="2"/>
  <c r="N22" i="2"/>
  <c r="B24" i="3"/>
  <c r="C24" i="3"/>
  <c r="N19" i="2"/>
  <c r="B21" i="3"/>
  <c r="C21" i="3"/>
  <c r="N50" i="2"/>
  <c r="N92" i="2"/>
  <c r="N25" i="2"/>
  <c r="B27" i="3"/>
  <c r="C27" i="3"/>
  <c r="N24" i="2"/>
  <c r="B26" i="3"/>
  <c r="C26" i="3"/>
  <c r="D33" i="3"/>
  <c r="N20" i="2"/>
  <c r="B22" i="3"/>
  <c r="C22" i="3"/>
  <c r="N29" i="2"/>
  <c r="B31" i="3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C31" i="3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N105" i="2"/>
  <c r="B23" i="3"/>
  <c r="C23" i="3"/>
  <c r="N21" i="2"/>
  <c r="N70" i="2"/>
  <c r="N62" i="2"/>
  <c r="N114" i="2"/>
  <c r="N82" i="2"/>
  <c r="B29" i="3"/>
  <c r="C29" i="3"/>
  <c r="N27" i="2"/>
  <c r="N64" i="2"/>
  <c r="N116" i="2"/>
  <c r="N113" i="2"/>
  <c r="E33" i="3" l="1"/>
  <c r="D34" i="3"/>
  <c r="L7" i="2"/>
  <c r="C62" i="5" s="1"/>
  <c r="L5" i="2"/>
  <c r="L4" i="2"/>
  <c r="L8" i="2"/>
  <c r="L6" i="2"/>
  <c r="C61" i="5" s="1"/>
  <c r="D20" i="3"/>
  <c r="E20" i="3" s="1"/>
  <c r="N18" i="2"/>
  <c r="L10" i="2" s="1"/>
  <c r="C65" i="5" s="1"/>
  <c r="L11" i="2"/>
  <c r="C66" i="5" s="1"/>
  <c r="C8" i="3"/>
  <c r="D8" i="3"/>
  <c r="C59" i="5" l="1"/>
  <c r="C7" i="2"/>
  <c r="C4" i="2"/>
  <c r="C60" i="5"/>
  <c r="L9" i="2"/>
  <c r="C64" i="5" s="1"/>
  <c r="C63" i="5"/>
  <c r="C68" i="5" s="1"/>
  <c r="E34" i="3"/>
  <c r="D35" i="3"/>
  <c r="C8" i="2" l="1"/>
  <c r="C9" i="2"/>
  <c r="C6" i="2"/>
  <c r="C10" i="2"/>
  <c r="C11" i="2"/>
  <c r="B5" i="3"/>
  <c r="C7" i="5"/>
  <c r="C70" i="5"/>
  <c r="C72" i="5" s="1"/>
  <c r="E70" i="5"/>
  <c r="E72" i="5" s="1"/>
  <c r="M34" i="3"/>
  <c r="C4" i="5"/>
  <c r="B4" i="3"/>
  <c r="E35" i="3"/>
  <c r="D36" i="3"/>
  <c r="E87" i="5"/>
  <c r="F87" i="5" s="1"/>
  <c r="E85" i="5"/>
  <c r="F85" i="5" s="1"/>
  <c r="E36" i="3" l="1"/>
  <c r="D37" i="3"/>
  <c r="C47" i="5"/>
  <c r="C37" i="5"/>
  <c r="C45" i="5"/>
  <c r="C50" i="5" s="1"/>
  <c r="D12" i="3"/>
  <c r="F8" i="3"/>
  <c r="D13" i="3"/>
  <c r="G13" i="3"/>
  <c r="G15" i="3"/>
  <c r="C19" i="5"/>
  <c r="M32" i="3"/>
  <c r="L21" i="3"/>
  <c r="L20" i="3"/>
  <c r="C6" i="5"/>
  <c r="L24" i="3"/>
  <c r="B6" i="3"/>
  <c r="D14" i="3" l="1"/>
  <c r="C14" i="5"/>
  <c r="C16" i="5" s="1"/>
  <c r="C27" i="5" s="1"/>
  <c r="C29" i="5" s="1"/>
  <c r="E75" i="5"/>
  <c r="A17" i="3"/>
  <c r="E8" i="3"/>
  <c r="H8" i="3" s="1"/>
  <c r="I8" i="3" s="1"/>
  <c r="B8" i="3" s="1"/>
  <c r="C13" i="3"/>
  <c r="B13" i="3"/>
  <c r="D15" i="3"/>
  <c r="E37" i="3"/>
  <c r="D38" i="3"/>
  <c r="F14" i="3" l="1"/>
  <c r="G14" i="3" s="1"/>
  <c r="O39" i="3"/>
  <c r="O23" i="3"/>
  <c r="O25" i="3"/>
  <c r="O27" i="3"/>
  <c r="O29" i="3"/>
  <c r="O31" i="3"/>
  <c r="O34" i="3"/>
  <c r="O40" i="3"/>
  <c r="O44" i="3"/>
  <c r="O48" i="3"/>
  <c r="O52" i="3"/>
  <c r="O56" i="3"/>
  <c r="O37" i="3"/>
  <c r="O21" i="3"/>
  <c r="O33" i="3"/>
  <c r="O43" i="3"/>
  <c r="O47" i="3"/>
  <c r="O51" i="3"/>
  <c r="O55" i="3"/>
  <c r="O22" i="3"/>
  <c r="O26" i="3"/>
  <c r="L27" i="3"/>
  <c r="O28" i="3"/>
  <c r="O35" i="3"/>
  <c r="O36" i="3"/>
  <c r="O46" i="3"/>
  <c r="O54" i="3"/>
  <c r="O58" i="3"/>
  <c r="O50" i="3"/>
  <c r="O42" i="3"/>
  <c r="F12" i="3"/>
  <c r="O24" i="3"/>
  <c r="O32" i="3"/>
  <c r="L28" i="3"/>
  <c r="O41" i="3"/>
  <c r="O45" i="3"/>
  <c r="O30" i="3"/>
  <c r="O53" i="3"/>
  <c r="L34" i="3"/>
  <c r="O57" i="3"/>
  <c r="O38" i="3"/>
  <c r="O20" i="3"/>
  <c r="O49" i="3"/>
  <c r="L31" i="3"/>
  <c r="L33" i="3"/>
  <c r="L32" i="3" s="1"/>
  <c r="C75" i="5"/>
  <c r="C76" i="5" s="1"/>
  <c r="E77" i="5" s="1"/>
  <c r="E80" i="5" s="1"/>
  <c r="E76" i="5"/>
  <c r="C77" i="5" s="1"/>
  <c r="C80" i="5" s="1"/>
  <c r="E38" i="3"/>
  <c r="D39" i="3"/>
  <c r="B15" i="3"/>
  <c r="C15" i="3"/>
  <c r="G12" i="3" l="1"/>
  <c r="C12" i="3"/>
  <c r="B12" i="3"/>
  <c r="B14" i="3"/>
  <c r="C14" i="3"/>
  <c r="K24" i="3" s="1"/>
  <c r="J24" i="3" s="1"/>
  <c r="E39" i="3"/>
  <c r="D40" i="3"/>
  <c r="K22" i="3" l="1"/>
  <c r="J22" i="3" s="1"/>
  <c r="K31" i="3"/>
  <c r="J31" i="3" s="1"/>
  <c r="K32" i="3"/>
  <c r="J32" i="3" s="1"/>
  <c r="K33" i="3"/>
  <c r="J33" i="3" s="1"/>
  <c r="K37" i="3"/>
  <c r="J37" i="3" s="1"/>
  <c r="K21" i="3"/>
  <c r="J21" i="3" s="1"/>
  <c r="K25" i="3"/>
  <c r="J25" i="3" s="1"/>
  <c r="K35" i="3"/>
  <c r="J35" i="3" s="1"/>
  <c r="K27" i="3"/>
  <c r="J27" i="3" s="1"/>
  <c r="K29" i="3"/>
  <c r="J29" i="3" s="1"/>
  <c r="K28" i="3"/>
  <c r="J28" i="3" s="1"/>
  <c r="E40" i="3"/>
  <c r="D41" i="3"/>
  <c r="K38" i="3"/>
  <c r="J38" i="3" s="1"/>
  <c r="K26" i="3"/>
  <c r="J26" i="3" s="1"/>
  <c r="K23" i="3"/>
  <c r="J23" i="3" s="1"/>
  <c r="K36" i="3"/>
  <c r="J36" i="3" s="1"/>
  <c r="K20" i="3"/>
  <c r="J20" i="3" s="1"/>
  <c r="K40" i="3"/>
  <c r="J40" i="3" s="1"/>
  <c r="K30" i="3"/>
  <c r="J30" i="3" s="1"/>
  <c r="K39" i="3"/>
  <c r="J39" i="3" s="1"/>
  <c r="K34" i="3"/>
  <c r="J34" i="3" s="1"/>
  <c r="E41" i="3" l="1"/>
  <c r="D42" i="3"/>
  <c r="E42" i="3" l="1"/>
  <c r="D43" i="3"/>
  <c r="E43" i="3" l="1"/>
  <c r="D44" i="3"/>
  <c r="E44" i="3" l="1"/>
  <c r="D45" i="3"/>
  <c r="E45" i="3" l="1"/>
  <c r="D46" i="3"/>
  <c r="E46" i="3" l="1"/>
  <c r="D47" i="3"/>
  <c r="E47" i="3" l="1"/>
  <c r="D48" i="3"/>
  <c r="E48" i="3" l="1"/>
  <c r="D49" i="3"/>
  <c r="E49" i="3" l="1"/>
  <c r="D50" i="3"/>
  <c r="E50" i="3" l="1"/>
  <c r="D51" i="3"/>
  <c r="E51" i="3" l="1"/>
  <c r="D52" i="3"/>
  <c r="E52" i="3" l="1"/>
  <c r="D53" i="3"/>
  <c r="E53" i="3" l="1"/>
  <c r="D54" i="3"/>
  <c r="E54" i="3" l="1"/>
  <c r="D55" i="3"/>
  <c r="E55" i="3" l="1"/>
  <c r="D56" i="3"/>
  <c r="E56" i="3" l="1"/>
  <c r="D57" i="3"/>
  <c r="D58" i="3" l="1"/>
  <c r="E57" i="3"/>
  <c r="E58" i="3" l="1"/>
  <c r="D59" i="3"/>
  <c r="E59" i="3" l="1"/>
  <c r="D60" i="3"/>
  <c r="E60" i="3" l="1"/>
  <c r="D61" i="3"/>
  <c r="E61" i="3" l="1"/>
  <c r="D62" i="3"/>
  <c r="E62" i="3" l="1"/>
  <c r="D63" i="3"/>
  <c r="E63" i="3" l="1"/>
  <c r="D64" i="3"/>
  <c r="E64" i="3" l="1"/>
  <c r="D65" i="3"/>
  <c r="E65" i="3" l="1"/>
  <c r="D66" i="3"/>
  <c r="E66" i="3" l="1"/>
  <c r="D67" i="3"/>
  <c r="E67" i="3" l="1"/>
  <c r="D68" i="3"/>
  <c r="D69" i="3" l="1"/>
  <c r="E68" i="3"/>
  <c r="E69" i="3" l="1"/>
  <c r="D70" i="3"/>
  <c r="E70" i="3" l="1"/>
  <c r="D71" i="3"/>
  <c r="E71" i="3" l="1"/>
  <c r="D72" i="3"/>
  <c r="E72" i="3" l="1"/>
  <c r="D73" i="3"/>
  <c r="E73" i="3" l="1"/>
  <c r="D74" i="3"/>
  <c r="E74" i="3" l="1"/>
  <c r="D75" i="3"/>
  <c r="E75" i="3" l="1"/>
  <c r="D76" i="3"/>
  <c r="E76" i="3" l="1"/>
  <c r="D77" i="3"/>
  <c r="E77" i="3" l="1"/>
  <c r="D78" i="3"/>
  <c r="E78" i="3" l="1"/>
  <c r="D79" i="3"/>
  <c r="E79" i="3" l="1"/>
  <c r="D80" i="3"/>
  <c r="E80" i="3" l="1"/>
  <c r="D81" i="3"/>
  <c r="E81" i="3" l="1"/>
  <c r="D82" i="3"/>
  <c r="E82" i="3" l="1"/>
  <c r="D83" i="3"/>
  <c r="E83" i="3" l="1"/>
  <c r="D84" i="3"/>
  <c r="E84" i="3" l="1"/>
  <c r="D85" i="3"/>
  <c r="E85" i="3" l="1"/>
  <c r="D86" i="3"/>
  <c r="E86" i="3" l="1"/>
  <c r="D87" i="3"/>
  <c r="E87" i="3" l="1"/>
  <c r="D88" i="3"/>
  <c r="E88" i="3" l="1"/>
  <c r="D89" i="3"/>
  <c r="E89" i="3" l="1"/>
  <c r="D90" i="3"/>
  <c r="E90" i="3" l="1"/>
  <c r="D91" i="3"/>
  <c r="E91" i="3" l="1"/>
  <c r="D92" i="3"/>
  <c r="E92" i="3" l="1"/>
  <c r="D93" i="3"/>
  <c r="E93" i="3" l="1"/>
  <c r="D94" i="3"/>
  <c r="E94" i="3" l="1"/>
  <c r="D95" i="3"/>
  <c r="E95" i="3" l="1"/>
  <c r="D96" i="3"/>
  <c r="E96" i="3" l="1"/>
  <c r="D97" i="3"/>
  <c r="E97" i="3" l="1"/>
  <c r="D98" i="3"/>
  <c r="E98" i="3" l="1"/>
  <c r="D99" i="3"/>
  <c r="E99" i="3" l="1"/>
  <c r="D100" i="3"/>
  <c r="E100" i="3" l="1"/>
  <c r="D101" i="3"/>
  <c r="E101" i="3" l="1"/>
  <c r="D102" i="3"/>
  <c r="E102" i="3" l="1"/>
  <c r="D103" i="3"/>
  <c r="E103" i="3" l="1"/>
  <c r="D104" i="3"/>
  <c r="E104" i="3" l="1"/>
  <c r="D105" i="3"/>
  <c r="E105" i="3" l="1"/>
  <c r="D106" i="3"/>
  <c r="E106" i="3" l="1"/>
  <c r="D107" i="3"/>
  <c r="E107" i="3" l="1"/>
  <c r="D108" i="3"/>
  <c r="D109" i="3" l="1"/>
  <c r="E108" i="3"/>
  <c r="E109" i="3" l="1"/>
  <c r="D110" i="3"/>
  <c r="E110" i="3" l="1"/>
  <c r="D111" i="3"/>
  <c r="E111" i="3" l="1"/>
  <c r="D112" i="3"/>
  <c r="E112" i="3" l="1"/>
  <c r="D113" i="3"/>
  <c r="E113" i="3" l="1"/>
  <c r="D114" i="3"/>
  <c r="E114" i="3" l="1"/>
  <c r="D115" i="3"/>
  <c r="E115" i="3" l="1"/>
  <c r="D116" i="3"/>
  <c r="D117" i="3" l="1"/>
  <c r="E116" i="3"/>
  <c r="E117" i="3" l="1"/>
  <c r="D118" i="3"/>
  <c r="E118" i="3" l="1"/>
  <c r="D119" i="3"/>
  <c r="E119" i="3" s="1"/>
  <c r="E19" i="3" s="1"/>
  <c r="A19" i="3" s="1"/>
  <c r="B13" i="4" s="1"/>
</calcChain>
</file>

<file path=xl/comments1.xml><?xml version="1.0" encoding="utf-8"?>
<comments xmlns="http://schemas.openxmlformats.org/spreadsheetml/2006/main">
  <authors>
    <author>Elmar Hillel</author>
  </authors>
  <commentList>
    <comment ref="C15" authorId="0">
      <text>
        <r>
          <rPr>
            <sz val="8"/>
            <color indexed="81"/>
            <rFont val="Tahoma"/>
            <family val="2"/>
          </rPr>
          <t xml:space="preserve">Die absoluten Häufigkeiten sind entweder als </t>
        </r>
        <r>
          <rPr>
            <b/>
            <sz val="8"/>
            <color indexed="81"/>
            <rFont val="Tahoma"/>
            <family val="2"/>
          </rPr>
          <t>Einzelhäufigkeiten</t>
        </r>
        <r>
          <rPr>
            <sz val="8"/>
            <color indexed="81"/>
            <rFont val="Tahoma"/>
            <family val="2"/>
          </rPr>
          <t xml:space="preserve"> (Klassenbesetzungszahlen nj) einzugeben oder als </t>
        </r>
        <r>
          <rPr>
            <b/>
            <sz val="8"/>
            <color indexed="81"/>
            <rFont val="Tahoma"/>
            <family val="2"/>
          </rPr>
          <t>kumulierte Häufigkeiten</t>
        </r>
        <r>
          <rPr>
            <sz val="8"/>
            <color indexed="81"/>
            <rFont val="Tahoma"/>
            <family val="2"/>
          </rPr>
          <t xml:space="preserve"> (absolte Häufigkeitssummen Gj)
</t>
        </r>
      </text>
    </comment>
    <comment ref="B16" authorId="0">
      <text>
        <r>
          <rPr>
            <sz val="8"/>
            <color indexed="81"/>
            <rFont val="Tahoma"/>
            <family val="2"/>
          </rPr>
          <t xml:space="preserve">Die oberen Klassengrenzen </t>
        </r>
        <r>
          <rPr>
            <b/>
            <sz val="8"/>
            <color indexed="81"/>
            <rFont val="Tahoma"/>
            <family val="2"/>
          </rPr>
          <t xml:space="preserve">nicht leerer Klassen </t>
        </r>
        <r>
          <rPr>
            <sz val="8"/>
            <color indexed="81"/>
            <rFont val="Tahoma"/>
            <family val="2"/>
          </rPr>
          <t xml:space="preserve">sind hier in aufsteigender Folge einzugeben. Die Eingabe muss dabei </t>
        </r>
        <r>
          <rPr>
            <b/>
            <sz val="8"/>
            <color indexed="81"/>
            <rFont val="Tahoma"/>
            <family val="2"/>
          </rPr>
          <t xml:space="preserve">lückenlos ab Klasse Nr. 1 </t>
        </r>
        <r>
          <rPr>
            <sz val="8"/>
            <color indexed="81"/>
            <rFont val="Tahoma"/>
            <family val="2"/>
          </rPr>
          <t>erfolgen.</t>
        </r>
      </text>
    </comment>
  </commentList>
</comments>
</file>

<file path=xl/comments2.xml><?xml version="1.0" encoding="utf-8"?>
<comments xmlns="http://schemas.openxmlformats.org/spreadsheetml/2006/main">
  <authors>
    <author>Elmar Hillel</author>
  </authors>
  <commentList>
    <comment ref="D17" authorId="0">
      <text>
        <r>
          <rPr>
            <sz val="8"/>
            <color indexed="81"/>
            <rFont val="Tahoma"/>
            <family val="2"/>
          </rPr>
          <t>Der Startwert der ausfallfreien Zeit t</t>
        </r>
        <r>
          <rPr>
            <vertAlign val="subscript"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sollte immer null sein. Zeigt sich dann im Lebensdauernetz eine Krümmung der Punkteschar und ist eine Mindestlebensdauer technisch plausibel, kann t</t>
        </r>
        <r>
          <rPr>
            <vertAlign val="subscript"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schrittweise verändert werden. Die beste Schätzung für t</t>
        </r>
        <r>
          <rPr>
            <vertAlign val="subscript"/>
            <sz val="8"/>
            <color indexed="81"/>
            <rFont val="Tahoma"/>
            <family val="2"/>
          </rPr>
          <t>0</t>
        </r>
        <r>
          <rPr>
            <sz val="8"/>
            <color indexed="81"/>
            <rFont val="Tahoma"/>
            <family val="2"/>
          </rPr>
          <t xml:space="preserve"> ist erreicht, wenn das Bestimmtheitsmaß (Zelle L6) ein Maximum annimmt.
Dies kann automatisch mit der Zielwertsuche
(Extras =&gt; Zielwertsuche) erfolgen:
</t>
        </r>
        <r>
          <rPr>
            <b/>
            <sz val="8"/>
            <color indexed="81"/>
            <rFont val="Tahoma"/>
            <family val="2"/>
          </rPr>
          <t>- Zielzelle:  L6
- Zielwert: 1
- Veränderbare Zelle: D17</t>
        </r>
        <r>
          <rPr>
            <sz val="8"/>
            <color indexed="81"/>
            <rFont val="Tahoma"/>
            <family val="2"/>
          </rPr>
          <t xml:space="preserve">
Ggf. Zielwert auf z. B. 0,999 oder 0,99 senken, falls kein brauchbares Ergebnis gefunden wird.
</t>
        </r>
        <r>
          <rPr>
            <b/>
            <sz val="8"/>
            <color indexed="81"/>
            <rFont val="Tahoma"/>
            <family val="2"/>
          </rPr>
          <t>Das Ergebnis ist in geeigneter Weise zu runden!</t>
        </r>
      </text>
    </comment>
  </commentList>
</comments>
</file>

<file path=xl/comments3.xml><?xml version="1.0" encoding="utf-8"?>
<comments xmlns="http://schemas.openxmlformats.org/spreadsheetml/2006/main">
  <authors>
    <author>Elmar Hillel</author>
  </authors>
  <commentList>
    <comment ref="E8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T normiert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T* normiert</t>
        </r>
      </text>
    </comment>
    <comment ref="G8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normales Skalenende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2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3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  <comment ref="B15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Abszisse</t>
        </r>
      </text>
    </comment>
    <comment ref="C15" authorId="0">
      <text>
        <r>
          <rPr>
            <b/>
            <sz val="8"/>
            <color indexed="81"/>
            <rFont val="Tahoma"/>
            <family val="2"/>
          </rPr>
          <t>Elmar Hillel:</t>
        </r>
        <r>
          <rPr>
            <sz val="8"/>
            <color indexed="81"/>
            <rFont val="Tahoma"/>
            <family val="2"/>
          </rPr>
          <t xml:space="preserve">
Ordinate</t>
        </r>
      </text>
    </comment>
  </commentList>
</comments>
</file>

<file path=xl/comments4.xml><?xml version="1.0" encoding="utf-8"?>
<comments xmlns="http://schemas.openxmlformats.org/spreadsheetml/2006/main">
  <authors>
    <author>Elmar Hillel</author>
  </authors>
  <commentList>
    <comment ref="C85" authorId="0">
      <text>
        <r>
          <rPr>
            <sz val="8"/>
            <color indexed="81"/>
            <rFont val="Tahoma"/>
            <family val="2"/>
          </rPr>
          <t xml:space="preserve">Die obere Vertrauensgrenze der charakteristischen Lebensdauer ist hinreichend genau bestimmt, wenn die untere Vertrauensgrenze von </t>
        </r>
        <r>
          <rPr>
            <b/>
            <sz val="8"/>
            <color indexed="81"/>
            <rFont val="Tahoma"/>
            <family val="2"/>
          </rPr>
          <t>µy(x)unten = 0</t>
        </r>
        <r>
          <rPr>
            <sz val="8"/>
            <color indexed="81"/>
            <rFont val="Tahoma"/>
            <family val="2"/>
          </rPr>
          <t xml:space="preserve"> ist
(entsprechend der 63,2-%-Linie im Lebensdauernetz).
Dies kann automatisch mit der </t>
        </r>
        <r>
          <rPr>
            <b/>
            <sz val="8"/>
            <color indexed="81"/>
            <rFont val="Tahoma"/>
            <family val="2"/>
          </rPr>
          <t>Zielwertsuche</t>
        </r>
        <r>
          <rPr>
            <sz val="8"/>
            <color indexed="81"/>
            <rFont val="Tahoma"/>
            <family val="2"/>
          </rPr>
          <t xml:space="preserve">
(Extras =&gt; Zielwertsuche) erfolgen:
</t>
        </r>
        <r>
          <rPr>
            <b/>
            <sz val="8"/>
            <color indexed="81"/>
            <rFont val="Tahoma"/>
            <family val="2"/>
          </rPr>
          <t>- Zielzelle:  F85
- Zielwert: 0
- Veränderbare Zelle: C85</t>
        </r>
      </text>
    </comment>
    <comment ref="C87" authorId="0">
      <text>
        <r>
          <rPr>
            <sz val="8"/>
            <color indexed="81"/>
            <rFont val="Tahoma"/>
            <family val="2"/>
          </rPr>
          <t xml:space="preserve">Die untere Vertrauensgrenze der charakteristischen Lebensdauer ist hinreichend genau bestimmt, wenn die obere Vertrauensgrenze von </t>
        </r>
        <r>
          <rPr>
            <b/>
            <sz val="8"/>
            <color indexed="81"/>
            <rFont val="Tahoma"/>
            <family val="2"/>
          </rPr>
          <t>µy(x)oben = 0</t>
        </r>
        <r>
          <rPr>
            <sz val="8"/>
            <color indexed="81"/>
            <rFont val="Tahoma"/>
            <family val="2"/>
          </rPr>
          <t xml:space="preserve"> ist
(entsprechend der 63,2-%-Linie im Lebensdauernetz).
Dies kann automatisch mit der </t>
        </r>
        <r>
          <rPr>
            <b/>
            <sz val="8"/>
            <color indexed="81"/>
            <rFont val="Tahoma"/>
            <family val="2"/>
          </rPr>
          <t>Zielwertsuche</t>
        </r>
        <r>
          <rPr>
            <sz val="8"/>
            <color indexed="81"/>
            <rFont val="Tahoma"/>
            <family val="2"/>
          </rPr>
          <t xml:space="preserve">
(Extras =&gt; Zielwertsuche) erfolgen:
</t>
        </r>
        <r>
          <rPr>
            <b/>
            <sz val="8"/>
            <color indexed="81"/>
            <rFont val="Tahoma"/>
            <family val="2"/>
          </rPr>
          <t>- Zielzelle:  F87
- Zielwert: 0
- Veränderbare Zelle: C87</t>
        </r>
      </text>
    </comment>
  </commentList>
</comments>
</file>

<file path=xl/sharedStrings.xml><?xml version="1.0" encoding="utf-8"?>
<sst xmlns="http://schemas.openxmlformats.org/spreadsheetml/2006/main" count="172" uniqueCount="157">
  <si>
    <t>Bestand</t>
  </si>
  <si>
    <t>n =</t>
  </si>
  <si>
    <t>—</t>
  </si>
  <si>
    <t>Netzlinien</t>
  </si>
  <si>
    <t>Ausgleichskurve</t>
  </si>
  <si>
    <t>Lot auf T</t>
  </si>
  <si>
    <t>Punkt T oder t-0</t>
  </si>
  <si>
    <t>Steigung b = 1</t>
  </si>
  <si>
    <t>b-Skala</t>
  </si>
  <si>
    <t>Steigung b</t>
  </si>
  <si>
    <t xml:space="preserve"> = Stichprobenumfang = Anfangsbestand</t>
  </si>
  <si>
    <r>
      <t>n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(t) =</t>
    </r>
  </si>
  <si>
    <t xml:space="preserve"> = Anzahl vollständiger Lebensdauern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</si>
  <si>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</si>
  <si>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</si>
  <si>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</si>
  <si>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</si>
  <si>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</si>
  <si>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</si>
  <si>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</si>
  <si>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</si>
  <si>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</si>
  <si>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Lebensdauernetzpunkte</t>
  </si>
  <si>
    <t>j</t>
  </si>
  <si>
    <t>Anzahl der Ausfälle</t>
  </si>
  <si>
    <t>Anzahl unvollständig erfasster Lebens- dauern</t>
  </si>
  <si>
    <t>Inkrement für unvollständig erfasste Lebens- dauern</t>
  </si>
  <si>
    <t>absolute Häufigkeits- summe</t>
  </si>
  <si>
    <t>relative Häufigkeits- summe</t>
  </si>
  <si>
    <t>Trans- formation</t>
  </si>
  <si>
    <r>
      <t>t</t>
    </r>
    <r>
      <rPr>
        <vertAlign val="subscript"/>
        <sz val="10"/>
        <color indexed="17"/>
        <rFont val="Times New Roman"/>
        <family val="1"/>
      </rPr>
      <t>j</t>
    </r>
  </si>
  <si>
    <r>
      <t>n</t>
    </r>
    <r>
      <rPr>
        <vertAlign val="subscript"/>
        <sz val="10"/>
        <color indexed="17"/>
        <rFont val="Times New Roman"/>
        <family val="1"/>
      </rPr>
      <t>j</t>
    </r>
  </si>
  <si>
    <r>
      <t>B</t>
    </r>
    <r>
      <rPr>
        <vertAlign val="subscript"/>
        <sz val="10"/>
        <color indexed="17"/>
        <rFont val="Times New Roman"/>
        <family val="1"/>
      </rPr>
      <t>j</t>
    </r>
  </si>
  <si>
    <r>
      <t>G</t>
    </r>
    <r>
      <rPr>
        <vertAlign val="subscript"/>
        <sz val="10"/>
        <color indexed="17"/>
        <rFont val="Times New Roman"/>
        <family val="1"/>
      </rPr>
      <t>j</t>
    </r>
  </si>
  <si>
    <r>
      <t>H</t>
    </r>
    <r>
      <rPr>
        <vertAlign val="subscript"/>
        <sz val="10"/>
        <color indexed="17"/>
        <rFont val="Times New Roman"/>
        <family val="1"/>
      </rPr>
      <t>j</t>
    </r>
  </si>
  <si>
    <r>
      <t>D</t>
    </r>
    <r>
      <rPr>
        <sz val="10"/>
        <color indexed="17"/>
        <rFont val="Times New Roman"/>
        <family val="1"/>
      </rPr>
      <t>G</t>
    </r>
    <r>
      <rPr>
        <vertAlign val="subscript"/>
        <sz val="10"/>
        <color indexed="17"/>
        <rFont val="Times New Roman"/>
        <family val="1"/>
      </rPr>
      <t>j</t>
    </r>
  </si>
  <si>
    <r>
      <t>t</t>
    </r>
    <r>
      <rPr>
        <vertAlign val="subscript"/>
        <sz val="10"/>
        <color indexed="17"/>
        <rFont val="Times New Roman"/>
        <family val="1"/>
      </rPr>
      <t>0</t>
    </r>
    <r>
      <rPr>
        <sz val="10"/>
        <color indexed="17"/>
        <rFont val="Times New Roman"/>
        <family val="1"/>
      </rPr>
      <t xml:space="preserve"> =</t>
    </r>
  </si>
  <si>
    <t>Kenngrößen</t>
  </si>
  <si>
    <t>Kenngrößen der Regression</t>
  </si>
  <si>
    <t>transformiert</t>
  </si>
  <si>
    <t>Potenz resultierend</t>
  </si>
  <si>
    <t>normiert</t>
  </si>
  <si>
    <t>Zeitachse unten ab t =</t>
  </si>
  <si>
    <t>Zeitachse oben bis t =</t>
  </si>
  <si>
    <t>Potenz aus Vorgabe</t>
  </si>
  <si>
    <t>Potenz zur Transformation</t>
  </si>
  <si>
    <t>T* normiert</t>
  </si>
  <si>
    <t>T normiert</t>
  </si>
  <si>
    <t>b</t>
  </si>
  <si>
    <t>t0 normiert</t>
  </si>
  <si>
    <t>Ausgleichsgerade oben bis</t>
  </si>
  <si>
    <t>Ausgleichsgerade unten ab</t>
  </si>
  <si>
    <t>Ordinatenende bei F(t) =</t>
  </si>
  <si>
    <t>Ardinatenanfang bei (Standard -7)</t>
  </si>
  <si>
    <t>Ausgleichskurve oben bis</t>
  </si>
  <si>
    <t>Ausgleichskurve unten ab</t>
  </si>
  <si>
    <t>dimensionslos</t>
  </si>
  <si>
    <t>(Faktor)</t>
  </si>
  <si>
    <t>(Einheit)</t>
  </si>
  <si>
    <t xml:space="preserve"> Formparameter b</t>
  </si>
  <si>
    <t xml:space="preserve"> Schätzwerte für:</t>
  </si>
  <si>
    <r>
      <t>t</t>
    </r>
    <r>
      <rPr>
        <vertAlign val="subscript"/>
        <sz val="10"/>
        <color indexed="17"/>
        <rFont val="Times New Roman"/>
        <family val="1"/>
      </rPr>
      <t xml:space="preserve">j </t>
    </r>
    <r>
      <rPr>
        <sz val="10"/>
        <color indexed="17"/>
        <rFont val="Times New Roman"/>
        <family val="1"/>
      </rPr>
      <t>– t</t>
    </r>
    <r>
      <rPr>
        <vertAlign val="subscript"/>
        <sz val="10"/>
        <color indexed="17"/>
        <rFont val="Times New Roman"/>
        <family val="1"/>
      </rPr>
      <t>0</t>
    </r>
  </si>
  <si>
    <t xml:space="preserve">= </t>
  </si>
  <si>
    <t xml:space="preserve"> Charakteristische Lebensdauer T</t>
  </si>
  <si>
    <r>
      <t xml:space="preserve"> ausfallfreie Zeit = Mindestlebensdauer t</t>
    </r>
    <r>
      <rPr>
        <vertAlign val="subscript"/>
        <sz val="10"/>
        <color indexed="17"/>
        <rFont val="Times New Roman"/>
        <family val="1"/>
      </rPr>
      <t>0</t>
    </r>
    <r>
      <rPr>
        <sz val="10"/>
        <color indexed="17"/>
        <rFont val="Times New Roman"/>
        <family val="1"/>
      </rPr>
      <t xml:space="preserve"> </t>
    </r>
  </si>
  <si>
    <r>
      <t xml:space="preserve"> mittlere Lebensdauer = arithmetischer Mittelwert µ</t>
    </r>
    <r>
      <rPr>
        <vertAlign val="subscript"/>
        <sz val="10"/>
        <color indexed="17"/>
        <rFont val="Times New Roman"/>
        <family val="1"/>
      </rPr>
      <t>t</t>
    </r>
    <r>
      <rPr>
        <sz val="10"/>
        <color indexed="17"/>
        <rFont val="Times New Roman"/>
        <family val="1"/>
      </rPr>
      <t xml:space="preserve"> </t>
    </r>
  </si>
  <si>
    <r>
      <t xml:space="preserve"> Standardabweichung der Lebensdauern </t>
    </r>
    <r>
      <rPr>
        <sz val="10"/>
        <color indexed="17"/>
        <rFont val="Symbol"/>
        <family val="1"/>
        <charset val="2"/>
      </rPr>
      <t>s</t>
    </r>
    <r>
      <rPr>
        <vertAlign val="subscript"/>
        <sz val="10"/>
        <color indexed="17"/>
        <rFont val="Times New Roman"/>
        <family val="1"/>
      </rPr>
      <t>t</t>
    </r>
    <r>
      <rPr>
        <sz val="10"/>
        <color indexed="17"/>
        <rFont val="Times New Roman"/>
        <family val="1"/>
      </rPr>
      <t xml:space="preserve"> </t>
    </r>
  </si>
  <si>
    <t>Lebens-</t>
  </si>
  <si>
    <t>dauern in</t>
  </si>
  <si>
    <t>Betrachteter Zeitpunkt t =</t>
  </si>
  <si>
    <t>geschätzte Ausfallwahrscheinlichkeit F(t) =</t>
  </si>
  <si>
    <t>geschätzte Überlebenswahrscheinlichkeit R(t) =</t>
  </si>
  <si>
    <r>
      <t xml:space="preserve">geschätzte Ausfallrate </t>
    </r>
    <r>
      <rPr>
        <sz val="10"/>
        <rFont val="Symbol"/>
        <family val="1"/>
        <charset val="2"/>
      </rPr>
      <t>l</t>
    </r>
    <r>
      <rPr>
        <sz val="10"/>
        <rFont val="Arial"/>
      </rPr>
      <t>(t) =</t>
    </r>
  </si>
  <si>
    <t>Auswerteblatt zum Lebensdauernetz</t>
  </si>
  <si>
    <r>
      <t xml:space="preserve"> 0,1-Quantil = "zuverlässige" Lebensdauer t</t>
    </r>
    <r>
      <rPr>
        <vertAlign val="subscript"/>
        <sz val="10"/>
        <color indexed="17"/>
        <rFont val="Times New Roman"/>
        <family val="1"/>
      </rPr>
      <t>10</t>
    </r>
    <r>
      <rPr>
        <sz val="10"/>
        <color indexed="17"/>
        <rFont val="Times New Roman"/>
        <family val="1"/>
      </rPr>
      <t xml:space="preserve"> </t>
    </r>
  </si>
  <si>
    <r>
      <t xml:space="preserve"> 0,5-Quantil = Median der Lebensdauern t</t>
    </r>
    <r>
      <rPr>
        <vertAlign val="subscript"/>
        <sz val="10"/>
        <color indexed="17"/>
        <rFont val="Times New Roman"/>
        <family val="1"/>
      </rPr>
      <t>50</t>
    </r>
    <r>
      <rPr>
        <sz val="10"/>
        <color indexed="17"/>
        <rFont val="Times New Roman"/>
        <family val="1"/>
      </rPr>
      <t xml:space="preserve"> </t>
    </r>
  </si>
  <si>
    <t xml:space="preserve"> transformierte Charakteristische Lebensdauer T*</t>
  </si>
  <si>
    <r>
      <t>x</t>
    </r>
    <r>
      <rPr>
        <vertAlign val="subscript"/>
        <sz val="10"/>
        <rFont val="Arial"/>
        <family val="2"/>
      </rPr>
      <t>j</t>
    </r>
    <r>
      <rPr>
        <sz val="10"/>
        <rFont val="Arial"/>
      </rPr>
      <t xml:space="preserve"> =</t>
    </r>
  </si>
  <si>
    <r>
      <t>y</t>
    </r>
    <r>
      <rPr>
        <vertAlign val="subscript"/>
        <sz val="10"/>
        <rFont val="Arial"/>
        <family val="2"/>
      </rPr>
      <t>j</t>
    </r>
    <r>
      <rPr>
        <sz val="10"/>
        <rFont val="Arial"/>
      </rPr>
      <t xml:space="preserve"> =</t>
    </r>
  </si>
  <si>
    <r>
      <t>ln (t</t>
    </r>
    <r>
      <rPr>
        <vertAlign val="subscript"/>
        <sz val="10"/>
        <rFont val="Arial"/>
        <family val="2"/>
      </rPr>
      <t>j</t>
    </r>
    <r>
      <rPr>
        <sz val="10"/>
        <rFont val="Arial"/>
      </rPr>
      <t>)</t>
    </r>
  </si>
  <si>
    <r>
      <t xml:space="preserve"> ln ln(1/(1-H</t>
    </r>
    <r>
      <rPr>
        <vertAlign val="subscript"/>
        <sz val="10"/>
        <rFont val="Arial"/>
        <family val="2"/>
      </rPr>
      <t>j</t>
    </r>
    <r>
      <rPr>
        <sz val="10"/>
        <rFont val="Arial"/>
      </rPr>
      <t>))</t>
    </r>
  </si>
  <si>
    <r>
      <t>x</t>
    </r>
    <r>
      <rPr>
        <vertAlign val="subscript"/>
        <sz val="10"/>
        <rFont val="Arial"/>
        <family val="2"/>
      </rPr>
      <t>j</t>
    </r>
    <r>
      <rPr>
        <sz val="10"/>
        <rFont val="Arial"/>
        <family val="2"/>
      </rPr>
      <t>²</t>
    </r>
    <r>
      <rPr>
        <sz val="10"/>
        <rFont val="Arial"/>
      </rPr>
      <t xml:space="preserve"> =</t>
    </r>
  </si>
  <si>
    <r>
      <t xml:space="preserve"> = Achsenabschnitt b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</t>
    </r>
  </si>
  <si>
    <r>
      <t xml:space="preserve"> = Steigung b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</t>
    </r>
  </si>
  <si>
    <r>
      <t xml:space="preserve"> = Bestimmtheitsmaß B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</rPr>
      <t xml:space="preserve"> </t>
    </r>
  </si>
  <si>
    <r>
      <t xml:space="preserve"> = Reststandardabweichung s</t>
    </r>
    <r>
      <rPr>
        <vertAlign val="subscript"/>
        <sz val="10"/>
        <rFont val="Arial"/>
        <family val="2"/>
      </rPr>
      <t>R</t>
    </r>
  </si>
  <si>
    <r>
      <t xml:space="preserve"> = Summe der quadrierten Abweichungen in x-Richtung Q</t>
    </r>
    <r>
      <rPr>
        <vertAlign val="subscript"/>
        <sz val="10"/>
        <rFont val="Arial"/>
        <family val="2"/>
      </rPr>
      <t>xx</t>
    </r>
    <r>
      <rPr>
        <sz val="10"/>
        <rFont val="Arial"/>
      </rPr>
      <t xml:space="preserve"> </t>
    </r>
  </si>
  <si>
    <r>
      <t xml:space="preserve"> = Summe der quadrierten x-Werte </t>
    </r>
    <r>
      <rPr>
        <sz val="10"/>
        <rFont val="Symbol"/>
        <family val="1"/>
        <charset val="2"/>
      </rPr>
      <t>S</t>
    </r>
    <r>
      <rPr>
        <sz val="10"/>
        <rFont val="Arial"/>
      </rPr>
      <t>x²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</rPr>
      <t xml:space="preserve"> </t>
    </r>
  </si>
  <si>
    <r>
      <t xml:space="preserve"> = Anzahl vollständiger Lebensdauern n</t>
    </r>
    <r>
      <rPr>
        <vertAlign val="subscript"/>
        <sz val="10"/>
        <rFont val="Arial"/>
        <family val="2"/>
      </rPr>
      <t>f</t>
    </r>
    <r>
      <rPr>
        <sz val="10"/>
        <rFont val="Arial"/>
      </rPr>
      <t>(t)</t>
    </r>
  </si>
  <si>
    <t xml:space="preserve"> ausfallfreie Zeit = Mindestlebensdauer t0 </t>
  </si>
  <si>
    <t xml:space="preserve"> betrachteten Einheiten,</t>
  </si>
  <si>
    <t>von denen maximal x =</t>
  </si>
  <si>
    <t>wird unter identischen Bedingungen beansprucht.</t>
  </si>
  <si>
    <t>ausfallen dürfen, damit das System überlebt,</t>
  </si>
  <si>
    <r>
      <t>geschätzte Ausfallwahrscheinlichkeit F</t>
    </r>
    <r>
      <rPr>
        <vertAlign val="subscript"/>
        <sz val="10"/>
        <rFont val="Arial"/>
        <family val="2"/>
      </rPr>
      <t>ges</t>
    </r>
    <r>
      <rPr>
        <sz val="10"/>
        <rFont val="Arial"/>
        <family val="2"/>
      </rPr>
      <t>(t)</t>
    </r>
    <r>
      <rPr>
        <sz val="10"/>
        <rFont val="Arial"/>
      </rPr>
      <t xml:space="preserve"> =</t>
    </r>
  </si>
  <si>
    <r>
      <t>geschätzte Überlebenswahrscheinlichkeit R</t>
    </r>
    <r>
      <rPr>
        <vertAlign val="subscript"/>
        <sz val="10"/>
        <rFont val="Arial"/>
        <family val="2"/>
      </rPr>
      <t>ges</t>
    </r>
    <r>
      <rPr>
        <sz val="10"/>
        <rFont val="Arial"/>
      </rPr>
      <t>(t) =</t>
    </r>
  </si>
  <si>
    <t>Vorgabe einer Zeit t</t>
  </si>
  <si>
    <t>Systemzuverlässigkeit</t>
  </si>
  <si>
    <t>Ein System aus n =</t>
  </si>
  <si>
    <t>Methode 4 nach DIN ISO 21747:2006</t>
  </si>
  <si>
    <t>"Iso-Perzentilmethode"</t>
  </si>
  <si>
    <r>
      <t xml:space="preserve"> 50-Perzentil t</t>
    </r>
    <r>
      <rPr>
        <vertAlign val="subscript"/>
        <sz val="10"/>
        <rFont val="Arial"/>
        <family val="2"/>
      </rPr>
      <t>50</t>
    </r>
    <r>
      <rPr>
        <sz val="10"/>
        <rFont val="Arial"/>
      </rPr>
      <t xml:space="preserve"> = </t>
    </r>
  </si>
  <si>
    <r>
      <t xml:space="preserve"> 0,135-Perzentil t</t>
    </r>
    <r>
      <rPr>
        <vertAlign val="subscript"/>
        <sz val="10"/>
        <rFont val="Arial"/>
        <family val="2"/>
      </rPr>
      <t>0,135</t>
    </r>
    <r>
      <rPr>
        <sz val="10"/>
        <rFont val="Arial"/>
      </rPr>
      <t xml:space="preserve"> = </t>
    </r>
  </si>
  <si>
    <r>
      <t>geschätzter Fähigkeitskennwert C</t>
    </r>
    <r>
      <rPr>
        <vertAlign val="subscript"/>
        <sz val="10"/>
        <rFont val="Arial"/>
        <family val="2"/>
      </rPr>
      <t>pk</t>
    </r>
    <r>
      <rPr>
        <sz val="10"/>
        <rFont val="Arial"/>
      </rPr>
      <t xml:space="preserve"> = </t>
    </r>
  </si>
  <si>
    <t>Vorgabe einer Überlebenswahrscheinlichkeit</t>
  </si>
  <si>
    <t>Überlebenswahrscheinlichkeit R(t) =</t>
  </si>
  <si>
    <t>geschätzte Zeit t =</t>
  </si>
  <si>
    <t>USG =</t>
  </si>
  <si>
    <t>Prozessfähigkeit bei Forderung einer Mindestlebensdauer</t>
  </si>
  <si>
    <r>
      <t xml:space="preserve">Vertrauensniveau 1 – </t>
    </r>
    <r>
      <rPr>
        <sz val="10"/>
        <rFont val="Symbol"/>
        <family val="1"/>
        <charset val="2"/>
      </rPr>
      <t>a</t>
    </r>
    <r>
      <rPr>
        <sz val="10"/>
        <rFont val="Arial"/>
      </rPr>
      <t xml:space="preserve"> = </t>
    </r>
  </si>
  <si>
    <r>
      <t>S</t>
    </r>
    <r>
      <rPr>
        <sz val="10"/>
        <rFont val="Arial"/>
      </rPr>
      <t>x²</t>
    </r>
    <r>
      <rPr>
        <vertAlign val="subscript"/>
        <sz val="10"/>
        <rFont val="Arial"/>
        <family val="2"/>
      </rPr>
      <t xml:space="preserve"> = </t>
    </r>
  </si>
  <si>
    <r>
      <t>Q</t>
    </r>
    <r>
      <rPr>
        <vertAlign val="subscript"/>
        <sz val="10"/>
        <rFont val="Arial"/>
        <family val="2"/>
      </rPr>
      <t>xx</t>
    </r>
    <r>
      <rPr>
        <sz val="10"/>
        <rFont val="Arial"/>
      </rPr>
      <t xml:space="preserve"> = </t>
    </r>
  </si>
  <si>
    <r>
      <t>n</t>
    </r>
    <r>
      <rPr>
        <vertAlign val="subscript"/>
        <sz val="10"/>
        <rFont val="Arial"/>
        <family val="2"/>
      </rPr>
      <t>f</t>
    </r>
    <r>
      <rPr>
        <sz val="10"/>
        <rFont val="Arial"/>
      </rPr>
      <t xml:space="preserve">(t) = </t>
    </r>
  </si>
  <si>
    <r>
      <t>s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</t>
    </r>
  </si>
  <si>
    <r>
      <t>B</t>
    </r>
    <r>
      <rPr>
        <vertAlign val="subscript"/>
        <sz val="10"/>
        <rFont val="Arial"/>
        <family val="2"/>
      </rPr>
      <t xml:space="preserve"> =</t>
    </r>
    <r>
      <rPr>
        <sz val="10"/>
        <rFont val="Arial"/>
      </rPr>
      <t xml:space="preserve"> </t>
    </r>
  </si>
  <si>
    <r>
      <t>b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 </t>
    </r>
  </si>
  <si>
    <r>
      <t>b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 </t>
    </r>
  </si>
  <si>
    <r>
      <t>Schwellenwert t</t>
    </r>
    <r>
      <rPr>
        <vertAlign val="subscript"/>
        <sz val="10"/>
        <rFont val="Arial"/>
        <family val="2"/>
      </rPr>
      <t>f; G</t>
    </r>
    <r>
      <rPr>
        <sz val="10"/>
        <rFont val="Arial"/>
      </rPr>
      <t xml:space="preserve"> = </t>
    </r>
  </si>
  <si>
    <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  <r>
      <rPr>
        <sz val="10"/>
        <rFont val="Symbol"/>
        <family val="1"/>
        <charset val="2"/>
      </rPr>
      <t>b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</si>
  <si>
    <t>VB der charakteristischen Lebensdauer:</t>
  </si>
  <si>
    <t>VB der Steigung:</t>
  </si>
  <si>
    <t>Vertrauensbereiche (VB) der Parameter</t>
  </si>
  <si>
    <t>VB des Formparameters:</t>
  </si>
  <si>
    <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</rPr>
      <t xml:space="preserve"> </t>
    </r>
    <r>
      <rPr>
        <b/>
        <sz val="10"/>
        <rFont val="Arial"/>
        <family val="2"/>
      </rPr>
      <t>b</t>
    </r>
    <r>
      <rPr>
        <b/>
        <sz val="10"/>
        <rFont val="Arial"/>
      </rP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</rPr>
      <t xml:space="preserve"> </t>
    </r>
  </si>
  <si>
    <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</rPr>
      <t xml:space="preserve"> </t>
    </r>
    <r>
      <rPr>
        <b/>
        <sz val="10"/>
        <rFont val="Arial"/>
        <family val="2"/>
      </rPr>
      <t>T</t>
    </r>
    <r>
      <rPr>
        <b/>
        <sz val="10"/>
        <rFont val="Arial"/>
      </rPr>
      <t xml:space="preserve"> </t>
    </r>
    <r>
      <rPr>
        <b/>
        <sz val="10"/>
        <rFont val="Symbol"/>
        <family val="1"/>
        <charset val="2"/>
      </rPr>
      <t>£</t>
    </r>
    <r>
      <rPr>
        <b/>
        <sz val="10"/>
        <rFont val="Arial"/>
      </rPr>
      <t xml:space="preserve"> </t>
    </r>
  </si>
  <si>
    <t>Hinweis 1:</t>
  </si>
  <si>
    <t>Hinweis 2:</t>
  </si>
  <si>
    <t>x</t>
  </si>
  <si>
    <t>Hinweis:</t>
  </si>
  <si>
    <t>Hinweis 3:</t>
  </si>
  <si>
    <t>unterhalb</t>
  </si>
  <si>
    <t>Weiterführende Berechnungen mit den Kennwerten</t>
  </si>
  <si>
    <t>km</t>
  </si>
  <si>
    <t>Einzel-</t>
  </si>
  <si>
    <t>kumulierte</t>
  </si>
  <si>
    <t>Klassen-obergrenzen</t>
  </si>
  <si>
    <t>absolute Häufigkeits- summen</t>
  </si>
  <si>
    <t>Klasse Nr.</t>
  </si>
  <si>
    <t>Häufigkeiten      =            Anzahlen von Ausfällen</t>
  </si>
  <si>
    <t>y(x)</t>
  </si>
  <si>
    <t>Regression für klassierte Werte mit festen Klassengrenzen und abhängigen Häufigkeitssummen</t>
  </si>
  <si>
    <t xml:space="preserve"> = Mittelwert x-quer</t>
  </si>
  <si>
    <r>
      <t>x</t>
    </r>
    <r>
      <rPr>
        <vertAlign val="subscript"/>
        <sz val="10"/>
        <rFont val="Arial"/>
        <family val="2"/>
      </rPr>
      <t>quer</t>
    </r>
    <r>
      <rPr>
        <sz val="10"/>
        <rFont val="Arial"/>
        <family val="2"/>
      </rPr>
      <t xml:space="preserve"> =</t>
    </r>
  </si>
  <si>
    <t>VB der Regressionsgerade an der Stelle T</t>
  </si>
  <si>
    <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  <r>
      <rPr>
        <sz val="10"/>
        <rFont val="Arial"/>
        <family val="2"/>
      </rPr>
      <t>F(T)</t>
    </r>
    <r>
      <rPr>
        <sz val="10"/>
        <rFont val="Arial"/>
      </rP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</si>
  <si>
    <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  <r>
      <rPr>
        <sz val="10"/>
        <rFont val="Arial"/>
        <family val="2"/>
      </rPr>
      <t>R(T)</t>
    </r>
    <r>
      <rPr>
        <sz val="10"/>
        <rFont val="Arial"/>
      </rP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</si>
  <si>
    <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  <r>
      <rPr>
        <sz val="10"/>
        <rFont val="Symbol"/>
        <family val="1"/>
        <charset val="2"/>
      </rPr>
      <t>m</t>
    </r>
    <r>
      <rPr>
        <vertAlign val="subscript"/>
        <sz val="10"/>
        <rFont val="Arial"/>
        <family val="2"/>
      </rPr>
      <t>y</t>
    </r>
    <r>
      <rPr>
        <sz val="10"/>
        <rFont val="Arial"/>
        <family val="2"/>
      </rPr>
      <t>(ln(T*))</t>
    </r>
    <r>
      <rPr>
        <sz val="10"/>
        <rFont val="Arial"/>
      </rPr>
      <t xml:space="preserve"> </t>
    </r>
    <r>
      <rPr>
        <sz val="10"/>
        <rFont val="Symbol"/>
        <family val="1"/>
        <charset val="2"/>
      </rPr>
      <t>£</t>
    </r>
    <r>
      <rPr>
        <sz val="10"/>
        <rFont val="Arial"/>
      </rPr>
      <t xml:space="preserve"> </t>
    </r>
  </si>
  <si>
    <r>
      <t xml:space="preserve">  Schätzung aus VB von µ</t>
    </r>
    <r>
      <rPr>
        <b/>
        <vertAlign val="subscript"/>
        <sz val="10"/>
        <rFont val="Arial"/>
        <family val="2"/>
      </rPr>
      <t>y</t>
    </r>
    <r>
      <rPr>
        <b/>
        <sz val="10"/>
        <rFont val="Arial"/>
        <family val="2"/>
      </rPr>
      <t>(ln(T*))</t>
    </r>
  </si>
  <si>
    <t xml:space="preserve">  VB der charakteristischen Lebensdauer:</t>
  </si>
  <si>
    <r>
      <t>T</t>
    </r>
    <r>
      <rPr>
        <vertAlign val="subscript"/>
        <sz val="10"/>
        <rFont val="Arial"/>
        <family val="2"/>
      </rPr>
      <t>oben</t>
    </r>
    <r>
      <rPr>
        <sz val="10"/>
        <rFont val="Arial"/>
      </rPr>
      <t xml:space="preserve"> =</t>
    </r>
  </si>
  <si>
    <r>
      <t>T</t>
    </r>
    <r>
      <rPr>
        <vertAlign val="subscript"/>
        <sz val="10"/>
        <rFont val="Arial"/>
        <family val="2"/>
      </rPr>
      <t>unten</t>
    </r>
    <r>
      <rPr>
        <sz val="10"/>
        <rFont val="Arial"/>
      </rPr>
      <t xml:space="preserve"> =</t>
    </r>
  </si>
  <si>
    <r>
      <t xml:space="preserve"> = µ</t>
    </r>
    <r>
      <rPr>
        <vertAlign val="subscript"/>
        <sz val="10"/>
        <rFont val="Arial"/>
        <family val="2"/>
      </rPr>
      <t>y</t>
    </r>
    <r>
      <rPr>
        <sz val="10"/>
        <rFont val="Arial"/>
      </rPr>
      <t>(x)</t>
    </r>
    <r>
      <rPr>
        <vertAlign val="subscript"/>
        <sz val="10"/>
        <rFont val="Arial"/>
        <family val="2"/>
      </rPr>
      <t>oben</t>
    </r>
  </si>
  <si>
    <r>
      <t xml:space="preserve"> = µ</t>
    </r>
    <r>
      <rPr>
        <vertAlign val="subscript"/>
        <sz val="10"/>
        <rFont val="Arial"/>
        <family val="2"/>
      </rPr>
      <t>y</t>
    </r>
    <r>
      <rPr>
        <sz val="10"/>
        <rFont val="Arial"/>
      </rPr>
      <t>(x)</t>
    </r>
    <r>
      <rPr>
        <vertAlign val="subscript"/>
        <sz val="10"/>
        <rFont val="Arial"/>
        <family val="2"/>
      </rPr>
      <t>unten</t>
    </r>
  </si>
  <si>
    <t>manuelle Verbesserung der VB-Schätzung</t>
  </si>
  <si>
    <t>Erfassung annähernd weibullverteilter Lebensdauern (klassierte Werte)</t>
  </si>
  <si>
    <t>Klasse</t>
  </si>
  <si>
    <t>Klassen- obergrenze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</si>
</sst>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0.0"/>
    <numFmt numFmtId="181" formatCode="0.000"/>
    <numFmt numFmtId="182" formatCode="0.0000"/>
    <numFmt numFmtId="185" formatCode="0.0%"/>
    <numFmt numFmtId="193" formatCode="#,##0;\-#,##0"/>
  </numFmts>
  <fonts count="2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sz val="14"/>
      <name val="Arial"/>
      <family val="2"/>
    </font>
    <font>
      <sz val="10"/>
      <color indexed="17"/>
      <name val="Arial"/>
      <family val="2"/>
    </font>
    <font>
      <sz val="10"/>
      <color indexed="17"/>
      <name val="Times New Roman"/>
      <family val="1"/>
    </font>
    <font>
      <vertAlign val="subscript"/>
      <sz val="10"/>
      <color indexed="17"/>
      <name val="Times New Roman"/>
      <family val="1"/>
    </font>
    <font>
      <b/>
      <sz val="10"/>
      <color indexed="17"/>
      <name val="Times New Roman"/>
      <family val="1"/>
    </font>
    <font>
      <sz val="10"/>
      <color indexed="17"/>
      <name val="Symbol"/>
      <family val="1"/>
      <charset val="2"/>
    </font>
    <font>
      <b/>
      <sz val="14"/>
      <color indexed="17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Symbol"/>
      <family val="1"/>
      <charset val="2"/>
    </font>
    <font>
      <vertAlign val="subscript"/>
      <sz val="8"/>
      <color indexed="81"/>
      <name val="Tahoma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Symbol"/>
      <family val="1"/>
      <charset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medium">
        <color indexed="17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dotted">
        <color indexed="9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dotted">
        <color indexed="9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dotted">
        <color indexed="9"/>
      </bottom>
      <diagonal/>
    </border>
    <border>
      <left style="medium">
        <color indexed="17"/>
      </left>
      <right style="thin">
        <color indexed="17"/>
      </right>
      <top style="dotted">
        <color indexed="9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tted">
        <color indexed="9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dotted">
        <color indexed="9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42"/>
      </bottom>
      <diagonal/>
    </border>
    <border>
      <left style="thin">
        <color indexed="17"/>
      </left>
      <right style="thin">
        <color indexed="17"/>
      </right>
      <top style="thin">
        <color indexed="42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181" fontId="0" fillId="0" borderId="0" xfId="0" applyNumberFormat="1"/>
    <xf numFmtId="18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80" fontId="0" fillId="0" borderId="0" xfId="0" applyNumberFormat="1" applyFill="1" applyBorder="1" applyAlignment="1">
      <alignment horizontal="center"/>
    </xf>
    <xf numFmtId="0" fontId="0" fillId="0" borderId="0" xfId="0" applyBorder="1"/>
    <xf numFmtId="181" fontId="0" fillId="0" borderId="0" xfId="0" applyNumberFormat="1" applyBorder="1"/>
    <xf numFmtId="0" fontId="2" fillId="0" borderId="0" xfId="0" applyFont="1"/>
    <xf numFmtId="0" fontId="0" fillId="0" borderId="0" xfId="0" applyNumberFormat="1" applyFill="1" applyBorder="1"/>
    <xf numFmtId="0" fontId="1" fillId="0" borderId="0" xfId="0" applyFont="1" applyFill="1"/>
    <xf numFmtId="182" fontId="0" fillId="0" borderId="0" xfId="0" applyNumberFormat="1" applyFill="1"/>
    <xf numFmtId="181" fontId="0" fillId="0" borderId="0" xfId="0" applyNumberFormat="1" applyFill="1"/>
    <xf numFmtId="180" fontId="0" fillId="0" borderId="0" xfId="0" applyNumberFormat="1" applyFill="1"/>
    <xf numFmtId="0" fontId="0" fillId="0" borderId="0" xfId="0" applyFill="1" applyBorder="1"/>
    <xf numFmtId="182" fontId="0" fillId="0" borderId="0" xfId="0" applyNumberFormat="1" applyFill="1" applyBorder="1"/>
    <xf numFmtId="185" fontId="0" fillId="0" borderId="0" xfId="1" applyNumberFormat="1" applyFont="1"/>
    <xf numFmtId="0" fontId="3" fillId="0" borderId="0" xfId="0" applyFont="1" applyBorder="1"/>
    <xf numFmtId="0" fontId="0" fillId="0" borderId="1" xfId="0" applyBorder="1"/>
    <xf numFmtId="181" fontId="0" fillId="0" borderId="2" xfId="0" applyNumberFormat="1" applyBorder="1"/>
    <xf numFmtId="180" fontId="0" fillId="0" borderId="1" xfId="0" applyNumberFormat="1" applyBorder="1"/>
    <xf numFmtId="0" fontId="0" fillId="0" borderId="3" xfId="0" applyBorder="1"/>
    <xf numFmtId="181" fontId="0" fillId="0" borderId="4" xfId="0" applyNumberFormat="1" applyBorder="1"/>
    <xf numFmtId="181" fontId="0" fillId="0" borderId="5" xfId="0" applyNumberFormat="1" applyBorder="1"/>
    <xf numFmtId="181" fontId="0" fillId="0" borderId="0" xfId="0" applyNumberFormat="1" applyFill="1" applyBorder="1"/>
    <xf numFmtId="180" fontId="0" fillId="0" borderId="0" xfId="0" applyNumberFormat="1"/>
    <xf numFmtId="180" fontId="0" fillId="0" borderId="3" xfId="0" applyNumberFormat="1" applyBorder="1"/>
    <xf numFmtId="180" fontId="0" fillId="0" borderId="6" xfId="0" applyNumberFormat="1" applyBorder="1"/>
    <xf numFmtId="180" fontId="0" fillId="0" borderId="7" xfId="0" applyNumberFormat="1" applyBorder="1"/>
    <xf numFmtId="2" fontId="0" fillId="0" borderId="0" xfId="0" applyNumberFormat="1" applyBorder="1"/>
    <xf numFmtId="2" fontId="0" fillId="0" borderId="4" xfId="0" applyNumberFormat="1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181" fontId="0" fillId="0" borderId="10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Border="1"/>
    <xf numFmtId="193" fontId="0" fillId="0" borderId="0" xfId="0" applyNumberFormat="1"/>
    <xf numFmtId="0" fontId="8" fillId="0" borderId="0" xfId="0" applyFont="1"/>
    <xf numFmtId="0" fontId="10" fillId="0" borderId="11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Fill="1" applyBorder="1"/>
    <xf numFmtId="0" fontId="4" fillId="0" borderId="12" xfId="0" applyNumberFormat="1" applyFont="1" applyFill="1" applyBorder="1"/>
    <xf numFmtId="0" fontId="4" fillId="0" borderId="12" xfId="0" applyFont="1" applyFill="1" applyBorder="1"/>
    <xf numFmtId="185" fontId="4" fillId="0" borderId="13" xfId="1" applyNumberFormat="1" applyFont="1" applyFill="1" applyBorder="1"/>
    <xf numFmtId="0" fontId="10" fillId="0" borderId="14" xfId="0" applyFont="1" applyFill="1" applyBorder="1"/>
    <xf numFmtId="0" fontId="4" fillId="0" borderId="15" xfId="0" applyNumberFormat="1" applyFont="1" applyFill="1" applyBorder="1"/>
    <xf numFmtId="0" fontId="10" fillId="0" borderId="16" xfId="0" applyFont="1" applyBorder="1"/>
    <xf numFmtId="0" fontId="12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7" xfId="0" applyFont="1" applyBorder="1"/>
    <xf numFmtId="0" fontId="10" fillId="0" borderId="18" xfId="0" applyFont="1" applyBorder="1"/>
    <xf numFmtId="0" fontId="10" fillId="0" borderId="14" xfId="0" quotePrefix="1" applyFont="1" applyBorder="1" applyAlignment="1">
      <alignment horizontal="center"/>
    </xf>
    <xf numFmtId="0" fontId="10" fillId="0" borderId="15" xfId="0" quotePrefix="1" applyFont="1" applyBorder="1" applyAlignment="1">
      <alignment horizontal="center"/>
    </xf>
    <xf numFmtId="0" fontId="10" fillId="0" borderId="19" xfId="0" quotePrefix="1" applyFont="1" applyBorder="1" applyAlignment="1">
      <alignment horizontal="center"/>
    </xf>
    <xf numFmtId="0" fontId="10" fillId="3" borderId="15" xfId="0" quotePrefix="1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5" xfId="0" applyFont="1" applyFill="1" applyBorder="1"/>
    <xf numFmtId="0" fontId="10" fillId="3" borderId="17" xfId="0" applyFont="1" applyFill="1" applyBorder="1"/>
    <xf numFmtId="2" fontId="4" fillId="3" borderId="12" xfId="0" applyNumberFormat="1" applyFont="1" applyFill="1" applyBorder="1"/>
    <xf numFmtId="2" fontId="4" fillId="3" borderId="15" xfId="0" applyNumberFormat="1" applyFont="1" applyFill="1" applyBorder="1"/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17" xfId="0" applyNumberFormat="1" applyFont="1" applyFill="1" applyBorder="1"/>
    <xf numFmtId="0" fontId="1" fillId="0" borderId="0" xfId="0" applyFont="1" applyBorder="1"/>
    <xf numFmtId="0" fontId="0" fillId="0" borderId="22" xfId="0" applyFill="1" applyBorder="1"/>
    <xf numFmtId="0" fontId="0" fillId="0" borderId="0" xfId="0" applyBorder="1" applyAlignment="1">
      <alignment horizontal="center"/>
    </xf>
    <xf numFmtId="180" fontId="0" fillId="0" borderId="0" xfId="0" applyNumberFormat="1" applyBorder="1" applyAlignment="1">
      <alignment horizontal="right"/>
    </xf>
    <xf numFmtId="18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80" fontId="0" fillId="0" borderId="23" xfId="0" applyNumberFormat="1" applyFill="1" applyBorder="1" applyAlignment="1">
      <alignment horizontal="center"/>
    </xf>
    <xf numFmtId="182" fontId="0" fillId="0" borderId="23" xfId="0" applyNumberForma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Fill="1" applyBorder="1"/>
    <xf numFmtId="0" fontId="0" fillId="0" borderId="25" xfId="0" applyBorder="1"/>
    <xf numFmtId="0" fontId="1" fillId="0" borderId="23" xfId="0" applyFont="1" applyBorder="1"/>
    <xf numFmtId="0" fontId="0" fillId="0" borderId="23" xfId="0" applyBorder="1"/>
    <xf numFmtId="0" fontId="10" fillId="0" borderId="26" xfId="0" applyFont="1" applyBorder="1" applyAlignment="1">
      <alignment horizontal="right"/>
    </xf>
    <xf numFmtId="0" fontId="0" fillId="0" borderId="6" xfId="0" applyNumberFormat="1" applyBorder="1"/>
    <xf numFmtId="0" fontId="0" fillId="0" borderId="8" xfId="0" applyNumberFormat="1" applyBorder="1"/>
    <xf numFmtId="0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2" fontId="0" fillId="0" borderId="0" xfId="0" applyNumberFormat="1"/>
    <xf numFmtId="0" fontId="0" fillId="0" borderId="7" xfId="0" applyFill="1" applyBorder="1"/>
    <xf numFmtId="1" fontId="0" fillId="0" borderId="7" xfId="0" applyNumberFormat="1" applyBorder="1"/>
    <xf numFmtId="0" fontId="0" fillId="0" borderId="27" xfId="0" applyBorder="1"/>
    <xf numFmtId="1" fontId="0" fillId="0" borderId="7" xfId="0" applyNumberFormat="1" applyFill="1" applyBorder="1"/>
    <xf numFmtId="0" fontId="0" fillId="0" borderId="27" xfId="0" applyFill="1" applyBorder="1"/>
    <xf numFmtId="0" fontId="0" fillId="0" borderId="7" xfId="0" applyBorder="1"/>
    <xf numFmtId="0" fontId="0" fillId="0" borderId="9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27" xfId="0" applyNumberFormat="1" applyFill="1" applyBorder="1"/>
    <xf numFmtId="0" fontId="0" fillId="0" borderId="27" xfId="0" applyNumberFormat="1" applyBorder="1"/>
    <xf numFmtId="0" fontId="0" fillId="0" borderId="0" xfId="1" applyNumberFormat="1" applyFont="1" applyFill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93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80" fontId="5" fillId="2" borderId="12" xfId="0" applyNumberFormat="1" applyFont="1" applyFill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 vertical="top" wrapText="1"/>
    </xf>
    <xf numFmtId="0" fontId="10" fillId="0" borderId="38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top" wrapText="1"/>
    </xf>
    <xf numFmtId="0" fontId="10" fillId="3" borderId="44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0" fillId="0" borderId="26" xfId="0" quotePrefix="1" applyFont="1" applyBorder="1" applyAlignment="1">
      <alignment horizontal="right"/>
    </xf>
    <xf numFmtId="0" fontId="10" fillId="0" borderId="25" xfId="0" quotePrefix="1" applyFont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1" fontId="7" fillId="0" borderId="45" xfId="0" applyNumberFormat="1" applyFont="1" applyBorder="1" applyAlignment="1">
      <alignment horizontal="center"/>
    </xf>
    <xf numFmtId="2" fontId="5" fillId="4" borderId="46" xfId="0" applyNumberFormat="1" applyFont="1" applyFill="1" applyBorder="1" applyAlignment="1">
      <alignment horizontal="right"/>
    </xf>
    <xf numFmtId="180" fontId="5" fillId="4" borderId="21" xfId="0" applyNumberFormat="1" applyFont="1" applyFill="1" applyBorder="1"/>
    <xf numFmtId="180" fontId="5" fillId="4" borderId="17" xfId="0" applyNumberFormat="1" applyFont="1" applyFill="1" applyBorder="1" applyAlignment="1">
      <alignment horizontal="right"/>
    </xf>
    <xf numFmtId="2" fontId="4" fillId="0" borderId="0" xfId="0" applyNumberFormat="1" applyFont="1" applyFill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quotePrefix="1" applyFill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2" fontId="10" fillId="0" borderId="0" xfId="0" quotePrefix="1" applyNumberFormat="1" applyFont="1" applyFill="1" applyBorder="1" applyAlignment="1">
      <alignment horizontal="left" vertical="center"/>
    </xf>
    <xf numFmtId="2" fontId="10" fillId="0" borderId="23" xfId="0" quotePrefix="1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82" fontId="0" fillId="0" borderId="0" xfId="0" applyNumberFormat="1" applyAlignment="1">
      <alignment horizontal="right" vertical="center"/>
    </xf>
    <xf numFmtId="2" fontId="0" fillId="0" borderId="0" xfId="0" applyNumberFormat="1" applyFill="1" applyBorder="1" applyAlignment="1">
      <alignment horizontal="right" vertical="center"/>
    </xf>
    <xf numFmtId="182" fontId="5" fillId="0" borderId="0" xfId="0" applyNumberFormat="1" applyFont="1" applyAlignment="1" applyProtection="1">
      <alignment horizontal="right" vertical="center"/>
      <protection locked="0"/>
    </xf>
    <xf numFmtId="182" fontId="4" fillId="0" borderId="0" xfId="0" applyNumberFormat="1" applyFont="1" applyAlignment="1" applyProtection="1">
      <alignment horizontal="right" vertical="center"/>
      <protection locked="0"/>
    </xf>
    <xf numFmtId="0" fontId="0" fillId="0" borderId="0" xfId="0" applyFill="1" applyAlignment="1">
      <alignment horizontal="right" vertical="center"/>
    </xf>
    <xf numFmtId="180" fontId="5" fillId="0" borderId="0" xfId="0" applyNumberFormat="1" applyFont="1" applyBorder="1" applyAlignment="1">
      <alignment horizontal="right"/>
    </xf>
    <xf numFmtId="180" fontId="5" fillId="0" borderId="23" xfId="0" applyNumberFormat="1" applyFont="1" applyBorder="1" applyAlignment="1">
      <alignment horizontal="right"/>
    </xf>
    <xf numFmtId="185" fontId="5" fillId="3" borderId="0" xfId="1" applyNumberFormat="1" applyFont="1" applyFill="1" applyBorder="1"/>
    <xf numFmtId="185" fontId="0" fillId="0" borderId="0" xfId="1" applyNumberFormat="1" applyFont="1" applyBorder="1"/>
    <xf numFmtId="11" fontId="5" fillId="3" borderId="0" xfId="0" applyNumberFormat="1" applyFont="1" applyFill="1" applyBorder="1"/>
    <xf numFmtId="0" fontId="0" fillId="0" borderId="0" xfId="0" quotePrefix="1" applyBorder="1"/>
    <xf numFmtId="0" fontId="0" fillId="0" borderId="33" xfId="0" applyBorder="1" applyAlignment="1">
      <alignment horizontal="right"/>
    </xf>
    <xf numFmtId="185" fontId="5" fillId="3" borderId="0" xfId="0" applyNumberFormat="1" applyFont="1" applyFill="1" applyBorder="1"/>
    <xf numFmtId="0" fontId="0" fillId="0" borderId="47" xfId="0" applyBorder="1"/>
    <xf numFmtId="0" fontId="0" fillId="0" borderId="48" xfId="0" applyBorder="1"/>
    <xf numFmtId="0" fontId="22" fillId="0" borderId="28" xfId="0" applyFont="1" applyBorder="1"/>
    <xf numFmtId="0" fontId="21" fillId="0" borderId="33" xfId="0" applyFont="1" applyBorder="1"/>
    <xf numFmtId="0" fontId="0" fillId="0" borderId="33" xfId="0" quotePrefix="1" applyBorder="1" applyAlignment="1">
      <alignment horizontal="right"/>
    </xf>
    <xf numFmtId="2" fontId="5" fillId="3" borderId="0" xfId="0" applyNumberFormat="1" applyFont="1" applyFill="1" applyBorder="1"/>
    <xf numFmtId="180" fontId="5" fillId="3" borderId="0" xfId="1" applyNumberFormat="1" applyFont="1" applyFill="1" applyBorder="1"/>
    <xf numFmtId="0" fontId="0" fillId="0" borderId="0" xfId="0" applyNumberFormat="1" applyBorder="1" applyAlignment="1">
      <alignment horizontal="right"/>
    </xf>
    <xf numFmtId="0" fontId="0" fillId="0" borderId="33" xfId="0" applyFill="1" applyBorder="1" applyAlignment="1">
      <alignment horizontal="right" vertical="center"/>
    </xf>
    <xf numFmtId="0" fontId="19" fillId="0" borderId="33" xfId="0" applyFont="1" applyFill="1" applyBorder="1" applyAlignment="1">
      <alignment horizontal="right" vertical="center"/>
    </xf>
    <xf numFmtId="180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0" fillId="2" borderId="0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24" fillId="0" borderId="0" xfId="0" applyFont="1"/>
    <xf numFmtId="1" fontId="0" fillId="0" borderId="0" xfId="0" applyNumberFormat="1" applyBorder="1"/>
    <xf numFmtId="1" fontId="0" fillId="0" borderId="49" xfId="0" applyNumberFormat="1" applyBorder="1" applyAlignment="1">
      <alignment horizontal="center"/>
    </xf>
    <xf numFmtId="0" fontId="0" fillId="0" borderId="50" xfId="0" applyBorder="1"/>
    <xf numFmtId="0" fontId="0" fillId="0" borderId="51" xfId="0" applyBorder="1"/>
    <xf numFmtId="1" fontId="0" fillId="0" borderId="0" xfId="0" applyNumberFormat="1" applyFill="1"/>
    <xf numFmtId="0" fontId="5" fillId="0" borderId="0" xfId="0" applyFont="1"/>
    <xf numFmtId="0" fontId="22" fillId="0" borderId="0" xfId="0" applyFont="1"/>
    <xf numFmtId="1" fontId="0" fillId="0" borderId="0" xfId="0" applyNumberFormat="1"/>
    <xf numFmtId="0" fontId="0" fillId="0" borderId="0" xfId="0" quotePrefix="1" applyAlignment="1">
      <alignment vertical="center"/>
    </xf>
    <xf numFmtId="0" fontId="0" fillId="2" borderId="0" xfId="0" applyNumberFormat="1" applyFill="1" applyProtection="1">
      <protection locked="0"/>
    </xf>
    <xf numFmtId="1" fontId="4" fillId="0" borderId="12" xfId="0" applyNumberFormat="1" applyFont="1" applyFill="1" applyBorder="1"/>
    <xf numFmtId="0" fontId="5" fillId="0" borderId="33" xfId="0" applyFont="1" applyBorder="1"/>
    <xf numFmtId="181" fontId="0" fillId="0" borderId="0" xfId="0" applyNumberFormat="1" applyFill="1" applyAlignment="1">
      <alignment horizontal="right" vertical="center"/>
    </xf>
    <xf numFmtId="0" fontId="4" fillId="0" borderId="33" xfId="0" applyFont="1" applyFill="1" applyBorder="1" applyAlignment="1">
      <alignment horizontal="right" vertical="center"/>
    </xf>
    <xf numFmtId="181" fontId="0" fillId="5" borderId="0" xfId="0" applyNumberFormat="1" applyFill="1" applyBorder="1"/>
    <xf numFmtId="180" fontId="5" fillId="3" borderId="0" xfId="0" applyNumberFormat="1" applyFont="1" applyFill="1" applyBorder="1"/>
    <xf numFmtId="180" fontId="5" fillId="3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/>
    <xf numFmtId="180" fontId="1" fillId="0" borderId="0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left"/>
    </xf>
    <xf numFmtId="0" fontId="4" fillId="0" borderId="33" xfId="0" applyFont="1" applyBorder="1" applyAlignment="1">
      <alignment horizontal="right"/>
    </xf>
    <xf numFmtId="180" fontId="0" fillId="2" borderId="0" xfId="0" applyNumberForma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0" borderId="15" xfId="0" applyFont="1" applyFill="1" applyBorder="1"/>
    <xf numFmtId="1" fontId="4" fillId="0" borderId="15" xfId="0" applyNumberFormat="1" applyFont="1" applyFill="1" applyBorder="1"/>
    <xf numFmtId="185" fontId="4" fillId="0" borderId="19" xfId="1" applyNumberFormat="1" applyFont="1" applyFill="1" applyBorder="1"/>
    <xf numFmtId="0" fontId="14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FFCC66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 sz="1400" b="1" i="0" u="none" strike="noStrike" baseline="0">
                <a:solidFill>
                  <a:srgbClr val="008000"/>
                </a:solidFill>
                <a:latin typeface="Times New Roman"/>
                <a:cs typeface="Times New Roman"/>
              </a:rPr>
              <a:t>Das Lebensdauernetz</a:t>
            </a:r>
            <a:endParaRPr lang="de-DE" sz="1200" b="1" i="0" u="none" strike="noStrike" baseline="0">
              <a:solidFill>
                <a:srgbClr val="008000"/>
              </a:solidFill>
              <a:latin typeface="Times New Roman"/>
              <a:cs typeface="Times New Roman"/>
            </a:endParaRPr>
          </a:p>
          <a:p>
            <a:pPr>
              <a:defRPr sz="1400" b="1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de-DE" sz="1200" b="1" i="0" u="none" strike="noStrike" baseline="0">
                <a:solidFill>
                  <a:srgbClr val="008000"/>
                </a:solidFill>
                <a:latin typeface="Times New Roman"/>
                <a:cs typeface="Times New Roman"/>
              </a:rPr>
              <a:t>Wahrscheinlichkeitsnetz für die Weibullverteilung</a:t>
            </a:r>
          </a:p>
        </c:rich>
      </c:tx>
      <c:layout>
        <c:manualLayout>
          <c:xMode val="edge"/>
          <c:yMode val="edge"/>
          <c:x val="0.23296354992076071"/>
          <c:y val="1.9522776572668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958795562599"/>
          <c:y val="0.10303687635574837"/>
          <c:w val="0.85261489698890647"/>
          <c:h val="0.750542299349240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'LN-Transfer'!$A$17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'LN-Transfer'!$C$20:$C$119</c:f>
              <c:numCache>
                <c:formatCode>General</c:formatCode>
                <c:ptCount val="10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</c:numCache>
            </c:numRef>
          </c:xVal>
          <c:yVal>
            <c:numRef>
              <c:f>'LN-Transfer'!$D$20:$D$119</c:f>
              <c:numCache>
                <c:formatCode>0.000</c:formatCode>
                <c:ptCount val="100"/>
                <c:pt idx="0">
                  <c:v>-4.4942282218027154</c:v>
                </c:pt>
                <c:pt idx="1">
                  <c:v>-3.4727328283644452</c:v>
                </c:pt>
                <c:pt idx="2">
                  <c:v>-2.6737520915052202</c:v>
                </c:pt>
                <c:pt idx="3">
                  <c:v>-1.922019970625281</c:v>
                </c:pt>
                <c:pt idx="4">
                  <c:v>-1.2458993237072384</c:v>
                </c:pt>
                <c:pt idx="5">
                  <c:v>-0.70830856550419652</c:v>
                </c:pt>
                <c:pt idx="6">
                  <c:v>-0.19418080237716071</c:v>
                </c:pt>
                <c:pt idx="7">
                  <c:v>0.23200911038417396</c:v>
                </c:pt>
                <c:pt idx="8">
                  <c:v>0.62098089019878544</c:v>
                </c:pt>
                <c:pt idx="9">
                  <c:v>1.0789757653523631</c:v>
                </c:pt>
                <c:pt idx="10">
                  <c:v>1.4096066464289518</c:v>
                </c:pt>
                <c:pt idx="11">
                  <c:v>1.4096066464289518</c:v>
                </c:pt>
                <c:pt idx="12">
                  <c:v>1.4096066464289518</c:v>
                </c:pt>
                <c:pt idx="13">
                  <c:v>1.4096066464289518</c:v>
                </c:pt>
                <c:pt idx="14">
                  <c:v>1.4096066464289518</c:v>
                </c:pt>
                <c:pt idx="15">
                  <c:v>1.4096066464289518</c:v>
                </c:pt>
                <c:pt idx="16">
                  <c:v>1.4096066464289518</c:v>
                </c:pt>
                <c:pt idx="17">
                  <c:v>1.4096066464289518</c:v>
                </c:pt>
                <c:pt idx="18">
                  <c:v>1.4096066464289518</c:v>
                </c:pt>
                <c:pt idx="19">
                  <c:v>1.4096066464289518</c:v>
                </c:pt>
                <c:pt idx="20">
                  <c:v>1.4096066464289518</c:v>
                </c:pt>
                <c:pt idx="21">
                  <c:v>1.4096066464289518</c:v>
                </c:pt>
                <c:pt idx="22">
                  <c:v>1.4096066464289518</c:v>
                </c:pt>
                <c:pt idx="23">
                  <c:v>1.4096066464289518</c:v>
                </c:pt>
                <c:pt idx="24">
                  <c:v>1.4096066464289518</c:v>
                </c:pt>
                <c:pt idx="25">
                  <c:v>1.4096066464289518</c:v>
                </c:pt>
                <c:pt idx="26">
                  <c:v>1.4096066464289518</c:v>
                </c:pt>
                <c:pt idx="27">
                  <c:v>1.4096066464289518</c:v>
                </c:pt>
                <c:pt idx="28">
                  <c:v>1.4096066464289518</c:v>
                </c:pt>
                <c:pt idx="29">
                  <c:v>1.4096066464289518</c:v>
                </c:pt>
                <c:pt idx="30">
                  <c:v>1.4096066464289518</c:v>
                </c:pt>
                <c:pt idx="31">
                  <c:v>1.4096066464289518</c:v>
                </c:pt>
                <c:pt idx="32">
                  <c:v>1.4096066464289518</c:v>
                </c:pt>
                <c:pt idx="33">
                  <c:v>1.4096066464289518</c:v>
                </c:pt>
                <c:pt idx="34">
                  <c:v>1.4096066464289518</c:v>
                </c:pt>
                <c:pt idx="35">
                  <c:v>1.4096066464289518</c:v>
                </c:pt>
                <c:pt idx="36">
                  <c:v>1.4096066464289518</c:v>
                </c:pt>
                <c:pt idx="37">
                  <c:v>1.4096066464289518</c:v>
                </c:pt>
                <c:pt idx="38">
                  <c:v>1.4096066464289518</c:v>
                </c:pt>
                <c:pt idx="39">
                  <c:v>1.4096066464289518</c:v>
                </c:pt>
                <c:pt idx="40">
                  <c:v>1.4096066464289518</c:v>
                </c:pt>
                <c:pt idx="41">
                  <c:v>1.4096066464289518</c:v>
                </c:pt>
                <c:pt idx="42">
                  <c:v>1.4096066464289518</c:v>
                </c:pt>
                <c:pt idx="43">
                  <c:v>1.4096066464289518</c:v>
                </c:pt>
                <c:pt idx="44">
                  <c:v>1.4096066464289518</c:v>
                </c:pt>
                <c:pt idx="45">
                  <c:v>1.4096066464289518</c:v>
                </c:pt>
                <c:pt idx="46">
                  <c:v>1.4096066464289518</c:v>
                </c:pt>
                <c:pt idx="47">
                  <c:v>1.4096066464289518</c:v>
                </c:pt>
                <c:pt idx="48">
                  <c:v>1.4096066464289518</c:v>
                </c:pt>
                <c:pt idx="49">
                  <c:v>1.4096066464289518</c:v>
                </c:pt>
                <c:pt idx="50">
                  <c:v>1.4096066464289518</c:v>
                </c:pt>
                <c:pt idx="51">
                  <c:v>1.4096066464289518</c:v>
                </c:pt>
                <c:pt idx="52">
                  <c:v>1.4096066464289518</c:v>
                </c:pt>
                <c:pt idx="53">
                  <c:v>1.4096066464289518</c:v>
                </c:pt>
                <c:pt idx="54">
                  <c:v>1.4096066464289518</c:v>
                </c:pt>
                <c:pt idx="55">
                  <c:v>1.4096066464289518</c:v>
                </c:pt>
                <c:pt idx="56">
                  <c:v>1.4096066464289518</c:v>
                </c:pt>
                <c:pt idx="57">
                  <c:v>1.4096066464289518</c:v>
                </c:pt>
                <c:pt idx="58">
                  <c:v>1.4096066464289518</c:v>
                </c:pt>
                <c:pt idx="59">
                  <c:v>1.4096066464289518</c:v>
                </c:pt>
                <c:pt idx="60">
                  <c:v>1.4096066464289518</c:v>
                </c:pt>
                <c:pt idx="61">
                  <c:v>1.4096066464289518</c:v>
                </c:pt>
                <c:pt idx="62">
                  <c:v>1.4096066464289518</c:v>
                </c:pt>
                <c:pt idx="63">
                  <c:v>1.4096066464289518</c:v>
                </c:pt>
                <c:pt idx="64">
                  <c:v>1.4096066464289518</c:v>
                </c:pt>
                <c:pt idx="65">
                  <c:v>1.4096066464289518</c:v>
                </c:pt>
                <c:pt idx="66">
                  <c:v>1.4096066464289518</c:v>
                </c:pt>
                <c:pt idx="67">
                  <c:v>1.4096066464289518</c:v>
                </c:pt>
                <c:pt idx="68">
                  <c:v>1.4096066464289518</c:v>
                </c:pt>
                <c:pt idx="69">
                  <c:v>1.4096066464289518</c:v>
                </c:pt>
                <c:pt idx="70">
                  <c:v>1.4096066464289518</c:v>
                </c:pt>
                <c:pt idx="71">
                  <c:v>1.4096066464289518</c:v>
                </c:pt>
                <c:pt idx="72">
                  <c:v>1.4096066464289518</c:v>
                </c:pt>
                <c:pt idx="73">
                  <c:v>1.4096066464289518</c:v>
                </c:pt>
                <c:pt idx="74">
                  <c:v>1.4096066464289518</c:v>
                </c:pt>
                <c:pt idx="75">
                  <c:v>1.4096066464289518</c:v>
                </c:pt>
                <c:pt idx="76">
                  <c:v>1.4096066464289518</c:v>
                </c:pt>
                <c:pt idx="77">
                  <c:v>1.4096066464289518</c:v>
                </c:pt>
                <c:pt idx="78">
                  <c:v>1.4096066464289518</c:v>
                </c:pt>
                <c:pt idx="79">
                  <c:v>1.4096066464289518</c:v>
                </c:pt>
                <c:pt idx="80">
                  <c:v>1.4096066464289518</c:v>
                </c:pt>
                <c:pt idx="81">
                  <c:v>1.4096066464289518</c:v>
                </c:pt>
                <c:pt idx="82">
                  <c:v>1.4096066464289518</c:v>
                </c:pt>
                <c:pt idx="83">
                  <c:v>1.4096066464289518</c:v>
                </c:pt>
                <c:pt idx="84">
                  <c:v>1.4096066464289518</c:v>
                </c:pt>
                <c:pt idx="85">
                  <c:v>1.4096066464289518</c:v>
                </c:pt>
                <c:pt idx="86">
                  <c:v>1.4096066464289518</c:v>
                </c:pt>
                <c:pt idx="87">
                  <c:v>1.4096066464289518</c:v>
                </c:pt>
                <c:pt idx="88">
                  <c:v>1.4096066464289518</c:v>
                </c:pt>
                <c:pt idx="89">
                  <c:v>1.4096066464289518</c:v>
                </c:pt>
                <c:pt idx="90">
                  <c:v>1.4096066464289518</c:v>
                </c:pt>
                <c:pt idx="91">
                  <c:v>1.4096066464289518</c:v>
                </c:pt>
                <c:pt idx="92">
                  <c:v>1.4096066464289518</c:v>
                </c:pt>
                <c:pt idx="93">
                  <c:v>1.4096066464289518</c:v>
                </c:pt>
                <c:pt idx="94">
                  <c:v>1.4096066464289518</c:v>
                </c:pt>
                <c:pt idx="95">
                  <c:v>1.4096066464289518</c:v>
                </c:pt>
                <c:pt idx="96">
                  <c:v>1.4096066464289518</c:v>
                </c:pt>
                <c:pt idx="97">
                  <c:v>1.4096066464289518</c:v>
                </c:pt>
                <c:pt idx="98">
                  <c:v>1.4096066464289518</c:v>
                </c:pt>
                <c:pt idx="99">
                  <c:v>1.4096066464289518</c:v>
                </c:pt>
              </c:numCache>
            </c:numRef>
          </c:yVal>
          <c:smooth val="0"/>
        </c:ser>
        <c:ser>
          <c:idx val="5"/>
          <c:order val="1"/>
          <c:tx>
            <c:strRef>
              <c:f>'LN-Transfer'!$A$16</c:f>
              <c:strCache>
                <c:ptCount val="1"/>
                <c:pt idx="0">
                  <c:v>Lebensdauern t in 10^4 km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'LN-Transfer'!$B$20:$B$119</c:f>
              <c:numCache>
                <c:formatCode>General</c:formatCode>
                <c:ptCount val="100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</c:numCache>
            </c:numRef>
          </c:xVal>
          <c:yVal>
            <c:numRef>
              <c:f>'LN-Transfer'!$D$20:$D$119</c:f>
              <c:numCache>
                <c:formatCode>0.000</c:formatCode>
                <c:ptCount val="100"/>
                <c:pt idx="0">
                  <c:v>-4.4942282218027154</c:v>
                </c:pt>
                <c:pt idx="1">
                  <c:v>-3.4727328283644452</c:v>
                </c:pt>
                <c:pt idx="2">
                  <c:v>-2.6737520915052202</c:v>
                </c:pt>
                <c:pt idx="3">
                  <c:v>-1.922019970625281</c:v>
                </c:pt>
                <c:pt idx="4">
                  <c:v>-1.2458993237072384</c:v>
                </c:pt>
                <c:pt idx="5">
                  <c:v>-0.70830856550419652</c:v>
                </c:pt>
                <c:pt idx="6">
                  <c:v>-0.19418080237716071</c:v>
                </c:pt>
                <c:pt idx="7">
                  <c:v>0.23200911038417396</c:v>
                </c:pt>
                <c:pt idx="8">
                  <c:v>0.62098089019878544</c:v>
                </c:pt>
                <c:pt idx="9">
                  <c:v>1.0789757653523631</c:v>
                </c:pt>
                <c:pt idx="10">
                  <c:v>1.4096066464289518</c:v>
                </c:pt>
                <c:pt idx="11">
                  <c:v>1.4096066464289518</c:v>
                </c:pt>
                <c:pt idx="12">
                  <c:v>1.4096066464289518</c:v>
                </c:pt>
                <c:pt idx="13">
                  <c:v>1.4096066464289518</c:v>
                </c:pt>
                <c:pt idx="14">
                  <c:v>1.4096066464289518</c:v>
                </c:pt>
                <c:pt idx="15">
                  <c:v>1.4096066464289518</c:v>
                </c:pt>
                <c:pt idx="16">
                  <c:v>1.4096066464289518</c:v>
                </c:pt>
                <c:pt idx="17">
                  <c:v>1.4096066464289518</c:v>
                </c:pt>
                <c:pt idx="18">
                  <c:v>1.4096066464289518</c:v>
                </c:pt>
                <c:pt idx="19">
                  <c:v>1.4096066464289518</c:v>
                </c:pt>
                <c:pt idx="20">
                  <c:v>1.4096066464289518</c:v>
                </c:pt>
                <c:pt idx="21">
                  <c:v>1.4096066464289518</c:v>
                </c:pt>
                <c:pt idx="22">
                  <c:v>1.4096066464289518</c:v>
                </c:pt>
                <c:pt idx="23">
                  <c:v>1.4096066464289518</c:v>
                </c:pt>
                <c:pt idx="24">
                  <c:v>1.4096066464289518</c:v>
                </c:pt>
                <c:pt idx="25">
                  <c:v>1.4096066464289518</c:v>
                </c:pt>
                <c:pt idx="26">
                  <c:v>1.4096066464289518</c:v>
                </c:pt>
                <c:pt idx="27">
                  <c:v>1.4096066464289518</c:v>
                </c:pt>
                <c:pt idx="28">
                  <c:v>1.4096066464289518</c:v>
                </c:pt>
                <c:pt idx="29">
                  <c:v>1.4096066464289518</c:v>
                </c:pt>
                <c:pt idx="30">
                  <c:v>1.4096066464289518</c:v>
                </c:pt>
                <c:pt idx="31">
                  <c:v>1.4096066464289518</c:v>
                </c:pt>
                <c:pt idx="32">
                  <c:v>1.4096066464289518</c:v>
                </c:pt>
                <c:pt idx="33">
                  <c:v>1.4096066464289518</c:v>
                </c:pt>
                <c:pt idx="34">
                  <c:v>1.4096066464289518</c:v>
                </c:pt>
                <c:pt idx="35">
                  <c:v>1.4096066464289518</c:v>
                </c:pt>
                <c:pt idx="36">
                  <c:v>1.4096066464289518</c:v>
                </c:pt>
                <c:pt idx="37">
                  <c:v>1.4096066464289518</c:v>
                </c:pt>
                <c:pt idx="38">
                  <c:v>1.4096066464289518</c:v>
                </c:pt>
                <c:pt idx="39">
                  <c:v>1.4096066464289518</c:v>
                </c:pt>
                <c:pt idx="40">
                  <c:v>1.4096066464289518</c:v>
                </c:pt>
                <c:pt idx="41">
                  <c:v>1.4096066464289518</c:v>
                </c:pt>
                <c:pt idx="42">
                  <c:v>1.4096066464289518</c:v>
                </c:pt>
                <c:pt idx="43">
                  <c:v>1.4096066464289518</c:v>
                </c:pt>
                <c:pt idx="44">
                  <c:v>1.4096066464289518</c:v>
                </c:pt>
                <c:pt idx="45">
                  <c:v>1.4096066464289518</c:v>
                </c:pt>
                <c:pt idx="46">
                  <c:v>1.4096066464289518</c:v>
                </c:pt>
                <c:pt idx="47">
                  <c:v>1.4096066464289518</c:v>
                </c:pt>
                <c:pt idx="48">
                  <c:v>1.4096066464289518</c:v>
                </c:pt>
                <c:pt idx="49">
                  <c:v>1.4096066464289518</c:v>
                </c:pt>
                <c:pt idx="50">
                  <c:v>1.4096066464289518</c:v>
                </c:pt>
                <c:pt idx="51">
                  <c:v>1.4096066464289518</c:v>
                </c:pt>
                <c:pt idx="52">
                  <c:v>1.4096066464289518</c:v>
                </c:pt>
                <c:pt idx="53">
                  <c:v>1.4096066464289518</c:v>
                </c:pt>
                <c:pt idx="54">
                  <c:v>1.4096066464289518</c:v>
                </c:pt>
                <c:pt idx="55">
                  <c:v>1.4096066464289518</c:v>
                </c:pt>
                <c:pt idx="56">
                  <c:v>1.4096066464289518</c:v>
                </c:pt>
                <c:pt idx="57">
                  <c:v>1.4096066464289518</c:v>
                </c:pt>
                <c:pt idx="58">
                  <c:v>1.4096066464289518</c:v>
                </c:pt>
                <c:pt idx="59">
                  <c:v>1.4096066464289518</c:v>
                </c:pt>
                <c:pt idx="60">
                  <c:v>1.4096066464289518</c:v>
                </c:pt>
                <c:pt idx="61">
                  <c:v>1.4096066464289518</c:v>
                </c:pt>
                <c:pt idx="62">
                  <c:v>1.4096066464289518</c:v>
                </c:pt>
                <c:pt idx="63">
                  <c:v>1.4096066464289518</c:v>
                </c:pt>
                <c:pt idx="64">
                  <c:v>1.4096066464289518</c:v>
                </c:pt>
                <c:pt idx="65">
                  <c:v>1.4096066464289518</c:v>
                </c:pt>
                <c:pt idx="66">
                  <c:v>1.4096066464289518</c:v>
                </c:pt>
                <c:pt idx="67">
                  <c:v>1.4096066464289518</c:v>
                </c:pt>
                <c:pt idx="68">
                  <c:v>1.4096066464289518</c:v>
                </c:pt>
                <c:pt idx="69">
                  <c:v>1.4096066464289518</c:v>
                </c:pt>
                <c:pt idx="70">
                  <c:v>1.4096066464289518</c:v>
                </c:pt>
                <c:pt idx="71">
                  <c:v>1.4096066464289518</c:v>
                </c:pt>
                <c:pt idx="72">
                  <c:v>1.4096066464289518</c:v>
                </c:pt>
                <c:pt idx="73">
                  <c:v>1.4096066464289518</c:v>
                </c:pt>
                <c:pt idx="74">
                  <c:v>1.4096066464289518</c:v>
                </c:pt>
                <c:pt idx="75">
                  <c:v>1.4096066464289518</c:v>
                </c:pt>
                <c:pt idx="76">
                  <c:v>1.4096066464289518</c:v>
                </c:pt>
                <c:pt idx="77">
                  <c:v>1.4096066464289518</c:v>
                </c:pt>
                <c:pt idx="78">
                  <c:v>1.4096066464289518</c:v>
                </c:pt>
                <c:pt idx="79">
                  <c:v>1.4096066464289518</c:v>
                </c:pt>
                <c:pt idx="80">
                  <c:v>1.4096066464289518</c:v>
                </c:pt>
                <c:pt idx="81">
                  <c:v>1.4096066464289518</c:v>
                </c:pt>
                <c:pt idx="82">
                  <c:v>1.4096066464289518</c:v>
                </c:pt>
                <c:pt idx="83">
                  <c:v>1.4096066464289518</c:v>
                </c:pt>
                <c:pt idx="84">
                  <c:v>1.4096066464289518</c:v>
                </c:pt>
                <c:pt idx="85">
                  <c:v>1.4096066464289518</c:v>
                </c:pt>
                <c:pt idx="86">
                  <c:v>1.4096066464289518</c:v>
                </c:pt>
                <c:pt idx="87">
                  <c:v>1.4096066464289518</c:v>
                </c:pt>
                <c:pt idx="88">
                  <c:v>1.4096066464289518</c:v>
                </c:pt>
                <c:pt idx="89">
                  <c:v>1.4096066464289518</c:v>
                </c:pt>
                <c:pt idx="90">
                  <c:v>1.4096066464289518</c:v>
                </c:pt>
                <c:pt idx="91">
                  <c:v>1.4096066464289518</c:v>
                </c:pt>
                <c:pt idx="92">
                  <c:v>1.4096066464289518</c:v>
                </c:pt>
                <c:pt idx="93">
                  <c:v>1.4096066464289518</c:v>
                </c:pt>
                <c:pt idx="94">
                  <c:v>1.4096066464289518</c:v>
                </c:pt>
                <c:pt idx="95">
                  <c:v>1.4096066464289518</c:v>
                </c:pt>
                <c:pt idx="96">
                  <c:v>1.4096066464289518</c:v>
                </c:pt>
                <c:pt idx="97">
                  <c:v>1.4096066464289518</c:v>
                </c:pt>
                <c:pt idx="98">
                  <c:v>1.4096066464289518</c:v>
                </c:pt>
                <c:pt idx="99">
                  <c:v>1.4096066464289518</c:v>
                </c:pt>
              </c:numCache>
            </c:numRef>
          </c:yVal>
          <c:smooth val="0"/>
        </c:ser>
        <c:ser>
          <c:idx val="1"/>
          <c:order val="2"/>
          <c:tx>
            <c:v>Ausgleichsgerade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'LN-Transfer'!$B$12:$B$13</c:f>
              <c:numCache>
                <c:formatCode>General</c:formatCode>
                <c:ptCount val="2"/>
                <c:pt idx="0">
                  <c:v>15.129176648807574</c:v>
                </c:pt>
                <c:pt idx="1">
                  <c:v>1.6819558228042384</c:v>
                </c:pt>
              </c:numCache>
            </c:numRef>
          </c:xVal>
          <c:yVal>
            <c:numRef>
              <c:f>'LN-Transfer'!$C$12:$C$13</c:f>
              <c:numCache>
                <c:formatCode>General</c:formatCode>
                <c:ptCount val="2"/>
                <c:pt idx="0">
                  <c:v>1.9326447339160653</c:v>
                </c:pt>
                <c:pt idx="1">
                  <c:v>-7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'LN-Transfer'!$F$20</c:f>
              <c:strCache>
                <c:ptCount val="1"/>
                <c:pt idx="0">
                  <c:v>0,1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</c:dPt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0,1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'LN-Transfer'!$G$20:$H$20</c:f>
              <c:numCache>
                <c:formatCode>0.000</c:formatCode>
                <c:ptCount val="2"/>
                <c:pt idx="0">
                  <c:v>-6.9072550705237159</c:v>
                </c:pt>
                <c:pt idx="1">
                  <c:v>-6.9072550705237159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'LN-Transfer'!$F$21</c:f>
              <c:strCache>
                <c:ptCount val="1"/>
                <c:pt idx="0">
                  <c:v>0,2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0,2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'LN-Transfer'!$G$21:$H$21</c:f>
              <c:numCache>
                <c:formatCode>0.000</c:formatCode>
                <c:ptCount val="2"/>
                <c:pt idx="0">
                  <c:v>-6.2136072640874609</c:v>
                </c:pt>
                <c:pt idx="1">
                  <c:v>-6.2136072640874609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'LN-Transfer'!$F$22</c:f>
              <c:strCache>
                <c:ptCount val="1"/>
                <c:pt idx="0">
                  <c:v>0,3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0,3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'LN-Transfer'!$G$22:$H$22</c:f>
              <c:numCache>
                <c:formatCode>0.000</c:formatCode>
                <c:ptCount val="2"/>
                <c:pt idx="0">
                  <c:v>-5.8076411119319511</c:v>
                </c:pt>
                <c:pt idx="1">
                  <c:v>-5.8076411119319511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'LN-Transfer'!$F$23</c:f>
              <c:strCache>
                <c:ptCount val="1"/>
                <c:pt idx="0">
                  <c:v>0,5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0,5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'LN-Transfer'!$G$23:$H$23</c:f>
              <c:numCache>
                <c:formatCode>0.000</c:formatCode>
                <c:ptCount val="2"/>
                <c:pt idx="0">
                  <c:v>-5.2958121425350253</c:v>
                </c:pt>
                <c:pt idx="1">
                  <c:v>-5.2958121425350253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'LN-Transfer'!$F$24</c:f>
              <c:strCache>
                <c:ptCount val="1"/>
                <c:pt idx="0">
                  <c:v>1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'LN-Transfer'!$G$24:$H$24</c:f>
              <c:numCache>
                <c:formatCode>0.000</c:formatCode>
                <c:ptCount val="2"/>
                <c:pt idx="0">
                  <c:v>-4.6001492267765789</c:v>
                </c:pt>
                <c:pt idx="1">
                  <c:v>-4.6001492267765789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'LN-Transfer'!$F$25</c:f>
              <c:strCache>
                <c:ptCount val="1"/>
                <c:pt idx="0">
                  <c:v>2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'LN-Transfer'!$G$25:$H$25</c:f>
              <c:numCache>
                <c:formatCode>0.000</c:formatCode>
                <c:ptCount val="2"/>
                <c:pt idx="0">
                  <c:v>-3.9019386579358333</c:v>
                </c:pt>
                <c:pt idx="1">
                  <c:v>-3.9019386579358333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'LN-Transfer'!$F$26</c:f>
              <c:strCache>
                <c:ptCount val="1"/>
                <c:pt idx="0">
                  <c:v>3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'LN-Transfer'!$G$26:$H$26</c:f>
              <c:numCache>
                <c:formatCode>0.000</c:formatCode>
                <c:ptCount val="2"/>
                <c:pt idx="0">
                  <c:v>-3.4913669500837861</c:v>
                </c:pt>
                <c:pt idx="1">
                  <c:v>-3.4913669500837861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'LN-Transfer'!$F$27</c:f>
              <c:strCache>
                <c:ptCount val="1"/>
                <c:pt idx="0">
                  <c:v>5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'LN-Transfer'!$G$27:$H$27</c:f>
              <c:numCache>
                <c:formatCode>0.000</c:formatCode>
                <c:ptCount val="2"/>
                <c:pt idx="0">
                  <c:v>-2.9701952490421637</c:v>
                </c:pt>
                <c:pt idx="1">
                  <c:v>-2.9701952490421637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'LN-Transfer'!$F$28</c:f>
              <c:strCache>
                <c:ptCount val="1"/>
                <c:pt idx="0">
                  <c:v>10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10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'LN-Transfer'!$G$28:$H$28</c:f>
              <c:numCache>
                <c:formatCode>0.000</c:formatCode>
                <c:ptCount val="2"/>
                <c:pt idx="0">
                  <c:v>-2.2503673273124454</c:v>
                </c:pt>
                <c:pt idx="1">
                  <c:v>-2.2503673273124454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'LN-Transfer'!$F$29</c:f>
              <c:strCache>
                <c:ptCount val="1"/>
                <c:pt idx="0">
                  <c:v>20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20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'LN-Transfer'!$G$29:$H$29</c:f>
              <c:numCache>
                <c:formatCode>0.000</c:formatCode>
                <c:ptCount val="2"/>
                <c:pt idx="0">
                  <c:v>-1.4999399867595158</c:v>
                </c:pt>
                <c:pt idx="1">
                  <c:v>-1.4999399867595158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'LN-Transfer'!$F$30</c:f>
              <c:strCache>
                <c:ptCount val="1"/>
                <c:pt idx="0">
                  <c:v>30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30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'LN-Transfer'!$G$30:$H$30</c:f>
              <c:numCache>
                <c:formatCode>0.000</c:formatCode>
                <c:ptCount val="2"/>
                <c:pt idx="0">
                  <c:v>-1.0309304331587228</c:v>
                </c:pt>
                <c:pt idx="1">
                  <c:v>-1.0309304331587228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'LN-Transfer'!$F$31</c:f>
              <c:strCache>
                <c:ptCount val="1"/>
                <c:pt idx="0">
                  <c:v>40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40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'LN-Transfer'!$G$31:$H$31</c:f>
              <c:numCache>
                <c:formatCode>0.000</c:formatCode>
                <c:ptCount val="2"/>
                <c:pt idx="0">
                  <c:v>-0.67172699209212194</c:v>
                </c:pt>
                <c:pt idx="1">
                  <c:v>-0.67172699209212194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'LN-Transfer'!$F$32</c:f>
              <c:strCache>
                <c:ptCount val="1"/>
                <c:pt idx="0">
                  <c:v>50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50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'LN-Transfer'!$G$32:$H$32</c:f>
              <c:numCache>
                <c:formatCode>0.000</c:formatCode>
                <c:ptCount val="2"/>
                <c:pt idx="0">
                  <c:v>-0.36651292058166435</c:v>
                </c:pt>
                <c:pt idx="1">
                  <c:v>-0.36651292058166435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'LN-Transfer'!$F$33</c:f>
              <c:strCache>
                <c:ptCount val="1"/>
                <c:pt idx="0">
                  <c:v>60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'LN-Transfer'!$G$33:$H$33</c:f>
              <c:numCache>
                <c:formatCode>0.000</c:formatCode>
                <c:ptCount val="2"/>
                <c:pt idx="0">
                  <c:v>-8.7421571790755173E-2</c:v>
                </c:pt>
                <c:pt idx="1">
                  <c:v>-8.7421571790755173E-2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'LN-Transfer'!$F$34</c:f>
              <c:strCache>
                <c:ptCount val="1"/>
                <c:pt idx="0">
                  <c:v>63,2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ysDash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63,2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'LN-Transfer'!$G$34:$H$34</c:f>
              <c:numCache>
                <c:formatCode>0.000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'LN-Transfer'!$F$35</c:f>
              <c:strCache>
                <c:ptCount val="1"/>
                <c:pt idx="0">
                  <c:v>70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'LN-Transfer'!$G$35:$H$35</c:f>
              <c:numCache>
                <c:formatCode>0.000</c:formatCode>
                <c:ptCount val="2"/>
                <c:pt idx="0">
                  <c:v>0.18562675886236557</c:v>
                </c:pt>
                <c:pt idx="1">
                  <c:v>0.18562675886236557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'LN-Transfer'!$F$36</c:f>
              <c:strCache>
                <c:ptCount val="1"/>
                <c:pt idx="0">
                  <c:v>80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80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'LN-Transfer'!$G$36:$H$36</c:f>
              <c:numCache>
                <c:formatCode>0.000</c:formatCode>
                <c:ptCount val="2"/>
                <c:pt idx="0">
                  <c:v>0.4758849953271107</c:v>
                </c:pt>
                <c:pt idx="1">
                  <c:v>0.4758849953271107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'LN-Transfer'!$F$37</c:f>
              <c:strCache>
                <c:ptCount val="1"/>
                <c:pt idx="0">
                  <c:v>90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90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'LN-Transfer'!$G$37:$H$37</c:f>
              <c:numCache>
                <c:formatCode>0.000</c:formatCode>
                <c:ptCount val="2"/>
                <c:pt idx="0">
                  <c:v>0.83403244524795594</c:v>
                </c:pt>
                <c:pt idx="1">
                  <c:v>0.83403244524795594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'LN-Transfer'!$F$38</c:f>
              <c:strCache>
                <c:ptCount val="1"/>
                <c:pt idx="0">
                  <c:v>99</c:v>
                </c:pt>
              </c:strCache>
            </c:strRef>
          </c:tx>
          <c:spPr>
            <a:ln w="3175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99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'LN-Transfer'!$G$38:$H$38</c:f>
              <c:numCache>
                <c:formatCode>0.000</c:formatCode>
                <c:ptCount val="2"/>
                <c:pt idx="0">
                  <c:v>1.5271796258079011</c:v>
                </c:pt>
                <c:pt idx="1">
                  <c:v>1.5271796258079011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'LN-Transfer'!$F$39</c:f>
              <c:strCache>
                <c:ptCount val="1"/>
                <c:pt idx="0">
                  <c:v>99,9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99,9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'LN-Transfer'!$B$8:$B$9</c:f>
              <c:numCache>
                <c:formatCode>General</c:formatCode>
                <c:ptCount val="2"/>
                <c:pt idx="0" formatCode="0">
                  <c:v>1000</c:v>
                </c:pt>
                <c:pt idx="1">
                  <c:v>1</c:v>
                </c:pt>
              </c:numCache>
            </c:numRef>
          </c:xVal>
          <c:yVal>
            <c:numRef>
              <c:f>'LN-Transfer'!$G$39:$H$39</c:f>
              <c:numCache>
                <c:formatCode>0.000</c:formatCode>
                <c:ptCount val="2"/>
                <c:pt idx="0">
                  <c:v>1.9326447339160815</c:v>
                </c:pt>
                <c:pt idx="1">
                  <c:v>1.9326447339160815</c:v>
                </c:pt>
              </c:numCache>
            </c:numRef>
          </c:yVal>
          <c:smooth val="0"/>
        </c:ser>
        <c:ser>
          <c:idx val="23"/>
          <c:order val="23"/>
          <c:tx>
            <c:v>Ausgleichskurve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'LN-Transfer'!$J$20:$J$40</c:f>
              <c:numCache>
                <c:formatCode>0.00</c:formatCode>
                <c:ptCount val="21"/>
                <c:pt idx="0">
                  <c:v>1.6819558228042386</c:v>
                </c:pt>
                <c:pt idx="1">
                  <c:v>1.8772176122592705</c:v>
                </c:pt>
                <c:pt idx="2">
                  <c:v>2.0951477535843366</c:v>
                </c:pt>
                <c:pt idx="3">
                  <c:v>2.3383778634307952</c:v>
                </c:pt>
                <c:pt idx="4">
                  <c:v>2.6098450683626533</c:v>
                </c:pt>
                <c:pt idx="5">
                  <c:v>2.9128274721449623</c:v>
                </c:pt>
                <c:pt idx="6">
                  <c:v>3.2509837405043354</c:v>
                </c:pt>
                <c:pt idx="7">
                  <c:v>3.6283972813675724</c:v>
                </c:pt>
                <c:pt idx="8">
                  <c:v>4.0496255540771244</c:v>
                </c:pt>
                <c:pt idx="9">
                  <c:v>4.5197551030170997</c:v>
                </c:pt>
                <c:pt idx="10">
                  <c:v>5.0444629802086789</c:v>
                </c:pt>
                <c:pt idx="11">
                  <c:v>5.6300852985838317</c:v>
                </c:pt>
                <c:pt idx="12">
                  <c:v>6.2836937437527824</c:v>
                </c:pt>
                <c:pt idx="13">
                  <c:v>7.0131809681835033</c:v>
                </c:pt>
                <c:pt idx="14">
                  <c:v>7.8273558989711258</c:v>
                </c:pt>
                <c:pt idx="15">
                  <c:v>8.73605011008679</c:v>
                </c:pt>
                <c:pt idx="16">
                  <c:v>9.7502365436046148</c:v>
                </c:pt>
                <c:pt idx="17">
                  <c:v>10.88216201352563</c:v>
                </c:pt>
                <c:pt idx="18">
                  <c:v>12.145495092249355</c:v>
                </c:pt>
                <c:pt idx="19">
                  <c:v>13.555491165496953</c:v>
                </c:pt>
                <c:pt idx="20">
                  <c:v>15.129176648807576</c:v>
                </c:pt>
              </c:numCache>
            </c:numRef>
          </c:xVal>
          <c:yVal>
            <c:numRef>
              <c:f>'LN-Transfer'!$K$20:$K$40</c:f>
              <c:numCache>
                <c:formatCode>0.000</c:formatCode>
                <c:ptCount val="21"/>
                <c:pt idx="0">
                  <c:v>-7</c:v>
                </c:pt>
                <c:pt idx="1">
                  <c:v>-6.5533677633041965</c:v>
                </c:pt>
                <c:pt idx="2">
                  <c:v>-6.1067355266083938</c:v>
                </c:pt>
                <c:pt idx="3">
                  <c:v>-5.6601032899125903</c:v>
                </c:pt>
                <c:pt idx="4">
                  <c:v>-5.2134710532167867</c:v>
                </c:pt>
                <c:pt idx="5">
                  <c:v>-4.7668388165209841</c:v>
                </c:pt>
                <c:pt idx="6">
                  <c:v>-4.3202065798251805</c:v>
                </c:pt>
                <c:pt idx="7">
                  <c:v>-3.873574343129377</c:v>
                </c:pt>
                <c:pt idx="8">
                  <c:v>-3.4269421064335739</c:v>
                </c:pt>
                <c:pt idx="9">
                  <c:v>-2.9803098697377708</c:v>
                </c:pt>
                <c:pt idx="10">
                  <c:v>-2.5336776330419672</c:v>
                </c:pt>
                <c:pt idx="11">
                  <c:v>-2.0870453963461637</c:v>
                </c:pt>
                <c:pt idx="12">
                  <c:v>-1.6404131596503611</c:v>
                </c:pt>
                <c:pt idx="13">
                  <c:v>-1.1937809229545575</c:v>
                </c:pt>
                <c:pt idx="14">
                  <c:v>-0.74714868625875397</c:v>
                </c:pt>
                <c:pt idx="15">
                  <c:v>-0.30051644956295132</c:v>
                </c:pt>
                <c:pt idx="16">
                  <c:v>0.14611578713285223</c:v>
                </c:pt>
                <c:pt idx="17">
                  <c:v>0.59274802382865577</c:v>
                </c:pt>
                <c:pt idx="18">
                  <c:v>1.0393802605244584</c:v>
                </c:pt>
                <c:pt idx="19">
                  <c:v>1.486012497220262</c:v>
                </c:pt>
                <c:pt idx="20">
                  <c:v>1.9326447339160655</c:v>
                </c:pt>
              </c:numCache>
            </c:numRef>
          </c:yVal>
          <c:smooth val="0"/>
        </c:ser>
        <c:ser>
          <c:idx val="24"/>
          <c:order val="24"/>
          <c:tx>
            <c:v>Lot auf 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'LN-Transfer'!$L$20:$L$21</c:f>
              <c:numCache>
                <c:formatCode>0.0</c:formatCode>
                <c:ptCount val="2"/>
                <c:pt idx="0">
                  <c:v>9.4061105760299242</c:v>
                </c:pt>
                <c:pt idx="1">
                  <c:v>9.4061105760299242</c:v>
                </c:pt>
              </c:numCache>
            </c:numRef>
          </c:xVal>
          <c:yVal>
            <c:numRef>
              <c:f>'LN-Transfer'!$M$20:$M$21</c:f>
              <c:numCache>
                <c:formatCode>General</c:formatCode>
                <c:ptCount val="2"/>
                <c:pt idx="0">
                  <c:v>-7</c:v>
                </c:pt>
                <c:pt idx="1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v>Punkt T</c:v>
          </c:tx>
          <c:spPr>
            <a:ln w="12700">
              <a:solidFill>
                <a:srgbClr val="3366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'LN-Transfer'!$L$20</c:f>
              <c:numCache>
                <c:formatCode>0.0</c:formatCode>
                <c:ptCount val="1"/>
                <c:pt idx="0">
                  <c:v>9.4061105760299242</c:v>
                </c:pt>
              </c:numCache>
            </c:numRef>
          </c:xVal>
          <c:yVal>
            <c:numRef>
              <c:f>'LN-Transfer'!$M$20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</c:ser>
        <c:ser>
          <c:idx val="26"/>
          <c:order val="26"/>
          <c:tx>
            <c:v>Punkt auf t-0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'LN-Transfer'!$L$24</c:f>
              <c:numCache>
                <c:formatCode>0.0</c:formatCode>
                <c:ptCount val="1"/>
                <c:pt idx="0">
                  <c:v>9.4061105760299242</c:v>
                </c:pt>
              </c:numCache>
            </c:numRef>
          </c:xVal>
          <c:yVal>
            <c:numRef>
              <c:f>'LN-Transfer'!$M$24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'LN-Transfer'!$L$26:$M$26</c:f>
              <c:strCache>
                <c:ptCount val="1"/>
                <c:pt idx="0">
                  <c:v>Steigung b = 1</c:v>
                </c:pt>
              </c:strCache>
            </c:strRef>
          </c:tx>
          <c:spPr>
            <a:ln w="12700">
              <a:solidFill>
                <a:srgbClr val="339933"/>
              </a:solidFill>
              <a:prstDash val="solid"/>
            </a:ln>
          </c:spPr>
          <c:marker>
            <c:symbol val="none"/>
          </c:marker>
          <c:xVal>
            <c:numRef>
              <c:f>'LN-Transfer'!$L$27:$L$28</c:f>
              <c:numCache>
                <c:formatCode>0.0</c:formatCode>
                <c:ptCount val="2"/>
                <c:pt idx="0">
                  <c:v>100</c:v>
                </c:pt>
                <c:pt idx="1">
                  <c:v>1000</c:v>
                </c:pt>
              </c:numCache>
            </c:numRef>
          </c:xVal>
          <c:yVal>
            <c:numRef>
              <c:f>'LN-Transfer'!$M$27:$M$28</c:f>
              <c:numCache>
                <c:formatCode>General</c:formatCode>
                <c:ptCount val="2"/>
                <c:pt idx="0">
                  <c:v>-7</c:v>
                </c:pt>
                <c:pt idx="1">
                  <c:v>-4.6974149070059541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'LN-Transfer'!$N$19:$P$19</c:f>
              <c:strCache>
                <c:ptCount val="1"/>
                <c:pt idx="0">
                  <c:v>b-Skala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4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dPt>
            <c:idx val="0"/>
            <c:marker>
              <c:symbol val="dash"/>
              <c:size val="6"/>
            </c:marker>
            <c:bubble3D val="0"/>
          </c:dPt>
          <c:dPt>
            <c:idx val="5"/>
            <c:marker>
              <c:symbol val="dash"/>
              <c:size val="6"/>
            </c:marker>
            <c:bubble3D val="0"/>
          </c:dPt>
          <c:dPt>
            <c:idx val="10"/>
            <c:marker>
              <c:symbol val="dash"/>
              <c:size val="6"/>
            </c:marker>
            <c:bubble3D val="0"/>
          </c:dPt>
          <c:dPt>
            <c:idx val="15"/>
            <c:marker>
              <c:symbol val="dash"/>
              <c:size val="6"/>
            </c:marker>
            <c:bubble3D val="0"/>
          </c:dPt>
          <c:dPt>
            <c:idx val="20"/>
            <c:marker>
              <c:symbol val="dash"/>
              <c:size val="6"/>
            </c:marker>
            <c:bubble3D val="0"/>
          </c:dPt>
          <c:dPt>
            <c:idx val="25"/>
            <c:marker>
              <c:symbol val="dash"/>
              <c:size val="6"/>
            </c:marker>
            <c:bubble3D val="0"/>
          </c:dPt>
          <c:dPt>
            <c:idx val="30"/>
            <c:marker>
              <c:symbol val="dash"/>
              <c:size val="6"/>
            </c:marker>
            <c:bubble3D val="0"/>
          </c:dPt>
          <c:dPt>
            <c:idx val="35"/>
            <c:marker>
              <c:symbol val="dash"/>
              <c:size val="6"/>
            </c:marker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0,0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0,5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1,0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1,5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2,0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2,5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0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3,0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5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3,5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8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339933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t>b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'LN-Transfer'!$O$20:$O$58</c:f>
              <c:numCache>
                <c:formatCode>General</c:formatCode>
                <c:ptCount val="39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</c:numCache>
            </c:numRef>
          </c:xVal>
          <c:yVal>
            <c:numRef>
              <c:f>'LN-Transfer'!$P$20:$P$58</c:f>
              <c:numCache>
                <c:formatCode>0.000</c:formatCode>
                <c:ptCount val="39"/>
                <c:pt idx="0">
                  <c:v>-7</c:v>
                </c:pt>
                <c:pt idx="1">
                  <c:v>-6.7697414907005955</c:v>
                </c:pt>
                <c:pt idx="2">
                  <c:v>-6.539482981401191</c:v>
                </c:pt>
                <c:pt idx="3">
                  <c:v>-6.3092244721017865</c:v>
                </c:pt>
                <c:pt idx="4">
                  <c:v>-6.078965962802382</c:v>
                </c:pt>
                <c:pt idx="5">
                  <c:v>-5.8487074535029766</c:v>
                </c:pt>
                <c:pt idx="6">
                  <c:v>-5.618448944203573</c:v>
                </c:pt>
                <c:pt idx="7">
                  <c:v>-5.3881904349041676</c:v>
                </c:pt>
                <c:pt idx="8">
                  <c:v>-5.1579319256047631</c:v>
                </c:pt>
                <c:pt idx="9">
                  <c:v>-4.9276734163053586</c:v>
                </c:pt>
                <c:pt idx="10">
                  <c:v>-4.6974149070059541</c:v>
                </c:pt>
                <c:pt idx="11">
                  <c:v>-4.4671563977065496</c:v>
                </c:pt>
                <c:pt idx="12">
                  <c:v>-4.2368978884071451</c:v>
                </c:pt>
                <c:pt idx="13">
                  <c:v>-4.0066393791077406</c:v>
                </c:pt>
                <c:pt idx="14">
                  <c:v>-3.7763808698083361</c:v>
                </c:pt>
                <c:pt idx="15">
                  <c:v>-3.5461223605089311</c:v>
                </c:pt>
                <c:pt idx="16">
                  <c:v>-3.3158638512095262</c:v>
                </c:pt>
                <c:pt idx="17">
                  <c:v>-3.0856053419101221</c:v>
                </c:pt>
                <c:pt idx="18">
                  <c:v>-2.8553468326107172</c:v>
                </c:pt>
                <c:pt idx="19">
                  <c:v>-2.6250883233113127</c:v>
                </c:pt>
                <c:pt idx="20">
                  <c:v>-2.3948298140119082</c:v>
                </c:pt>
                <c:pt idx="21">
                  <c:v>-2.1645713047125037</c:v>
                </c:pt>
                <c:pt idx="22">
                  <c:v>-1.9343127954130983</c:v>
                </c:pt>
                <c:pt idx="23">
                  <c:v>-1.7040542861136947</c:v>
                </c:pt>
                <c:pt idx="24">
                  <c:v>-1.4737957768142902</c:v>
                </c:pt>
                <c:pt idx="25">
                  <c:v>-1.2435372675148848</c:v>
                </c:pt>
                <c:pt idx="26">
                  <c:v>-1.0132787582154803</c:v>
                </c:pt>
                <c:pt idx="27">
                  <c:v>-0.7830202489160758</c:v>
                </c:pt>
                <c:pt idx="28">
                  <c:v>-0.55276173961667219</c:v>
                </c:pt>
                <c:pt idx="29">
                  <c:v>-0.3225032303172668</c:v>
                </c:pt>
                <c:pt idx="30">
                  <c:v>-9.2244721017862297E-2</c:v>
                </c:pt>
                <c:pt idx="31">
                  <c:v>0.1380137882815422</c:v>
                </c:pt>
                <c:pt idx="32">
                  <c:v>0.36827229758094759</c:v>
                </c:pt>
                <c:pt idx="33">
                  <c:v>0.59853080688035121</c:v>
                </c:pt>
                <c:pt idx="34">
                  <c:v>0.82878931617975571</c:v>
                </c:pt>
                <c:pt idx="35">
                  <c:v>1.0590478254791602</c:v>
                </c:pt>
                <c:pt idx="36">
                  <c:v>1.2893063347785656</c:v>
                </c:pt>
                <c:pt idx="37">
                  <c:v>1.519564844077971</c:v>
                </c:pt>
                <c:pt idx="38">
                  <c:v>1.7498233533773746</c:v>
                </c:pt>
              </c:numCache>
            </c:numRef>
          </c:yVal>
          <c:smooth val="0"/>
        </c:ser>
        <c:ser>
          <c:idx val="29"/>
          <c:order val="29"/>
          <c:tx>
            <c:strRef>
              <c:f>'LN-Transfer'!$L$30:$M$30</c:f>
              <c:strCache>
                <c:ptCount val="1"/>
                <c:pt idx="0">
                  <c:v>Steigung b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'LN-Transfer'!$L$31:$L$32</c:f>
              <c:numCache>
                <c:formatCode>General</c:formatCode>
                <c:ptCount val="2"/>
                <c:pt idx="0" formatCode="0.0">
                  <c:v>100</c:v>
                </c:pt>
                <c:pt idx="1">
                  <c:v>899.49905007514042</c:v>
                </c:pt>
              </c:numCache>
            </c:numRef>
          </c:xVal>
          <c:yVal>
            <c:numRef>
              <c:f>'LN-Transfer'!$M$31:$M$32</c:f>
              <c:numCache>
                <c:formatCode>General</c:formatCode>
                <c:ptCount val="2"/>
                <c:pt idx="0">
                  <c:v>-7</c:v>
                </c:pt>
                <c:pt idx="1">
                  <c:v>1.9326447339160815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511552"/>
        <c:axId val="361542400"/>
      </c:scatterChart>
      <c:valAx>
        <c:axId val="361511552"/>
        <c:scaling>
          <c:logBase val="10"/>
          <c:orientation val="minMax"/>
          <c:min val="1"/>
        </c:scaling>
        <c:delete val="0"/>
        <c:axPos val="b"/>
        <c:majorGridlines>
          <c:spPr>
            <a:ln w="12700">
              <a:solidFill>
                <a:srgbClr val="339933"/>
              </a:solidFill>
              <a:prstDash val="solid"/>
            </a:ln>
          </c:spPr>
        </c:majorGridlines>
        <c:minorGridlines>
          <c:spPr>
            <a:ln w="3175">
              <a:solidFill>
                <a:srgbClr val="339933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99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Lebensdauer</a:t>
                </a:r>
              </a:p>
            </c:rich>
          </c:tx>
          <c:layout>
            <c:manualLayout>
              <c:xMode val="edge"/>
              <c:yMode val="edge"/>
              <c:x val="0.46434231378763868"/>
              <c:y val="0.87852494577006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out"/>
        <c:tickLblPos val="nextTo"/>
        <c:spPr>
          <a:ln w="12700">
            <a:solidFill>
              <a:srgbClr val="339933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9933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61542400"/>
        <c:crossesAt val="-7"/>
        <c:crossBetween val="midCat"/>
      </c:valAx>
      <c:valAx>
        <c:axId val="361542400"/>
        <c:scaling>
          <c:orientation val="minMax"/>
          <c:max val="1.9330000000000001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339933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de-DE" sz="1200" b="0" i="0" u="none" strike="noStrike" baseline="0">
                    <a:solidFill>
                      <a:srgbClr val="339933"/>
                    </a:solidFill>
                    <a:latin typeface="Times New Roman"/>
                    <a:cs typeface="Times New Roman"/>
                  </a:rPr>
                  <a:t>Ausfallwahrscheinlichkeit F(t) in % </a:t>
                </a:r>
                <a:r>
                  <a:rPr lang="de-DE" sz="1200" b="0" i="0" u="none" strike="noStrike" baseline="0">
                    <a:solidFill>
                      <a:srgbClr val="FFFFFF"/>
                    </a:solidFill>
                    <a:latin typeface="Times New Roman"/>
                    <a:cs typeface="Times New Roman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0"/>
              <c:y val="0.34924078091106292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none"/>
        <c:minorTickMark val="none"/>
        <c:tickLblPos val="none"/>
        <c:spPr>
          <a:ln w="12700">
            <a:solidFill>
              <a:srgbClr val="339933"/>
            </a:solidFill>
            <a:prstDash val="solid"/>
          </a:ln>
        </c:spPr>
        <c:crossAx val="3615115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egendEntry>
        <c:idx val="24"/>
        <c:delete val="1"/>
      </c:legendEntry>
      <c:legendEntry>
        <c:idx val="25"/>
        <c:delete val="1"/>
      </c:legendEntry>
      <c:legendEntry>
        <c:idx val="26"/>
        <c:delete val="1"/>
      </c:legendEntry>
      <c:legendEntry>
        <c:idx val="27"/>
        <c:delete val="1"/>
      </c:legendEntry>
      <c:legendEntry>
        <c:idx val="28"/>
        <c:delete val="1"/>
      </c:legendEntry>
      <c:legendEntry>
        <c:idx val="29"/>
        <c:delete val="1"/>
      </c:legendEntry>
      <c:layout>
        <c:manualLayout>
          <c:xMode val="edge"/>
          <c:yMode val="edge"/>
          <c:x val="0"/>
          <c:y val="0.91106290672451196"/>
          <c:w val="0.77496038034865289"/>
          <c:h val="7.80911062906724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99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Protection content="1" objects="1"/>
  <pageMargins left="0.78740157499999996" right="0.78740157499999996" top="0.984251969" bottom="0.984251969" header="0.51181102300000003" footer="0.51181102300000003"/>
  <pageSetup paperSize="9" orientation="portrait" horizontalDpi="360" verticalDpi="360" r:id="rId1"/>
  <headerFooter alignWithMargins="0">
    <oddHeader>&amp;A</oddHeader>
    <oddFooter>Seite &amp;P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image" Target="../media/image21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12" Type="http://schemas.openxmlformats.org/officeDocument/2006/relationships/image" Target="../media/image20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19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3</xdr:row>
          <xdr:rowOff>0</xdr:rowOff>
        </xdr:from>
        <xdr:to>
          <xdr:col>1</xdr:col>
          <xdr:colOff>561975</xdr:colOff>
          <xdr:row>3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3</xdr:row>
          <xdr:rowOff>190500</xdr:rowOff>
        </xdr:from>
        <xdr:to>
          <xdr:col>1</xdr:col>
          <xdr:colOff>600075</xdr:colOff>
          <xdr:row>5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5</xdr:row>
          <xdr:rowOff>0</xdr:rowOff>
        </xdr:from>
        <xdr:to>
          <xdr:col>1</xdr:col>
          <xdr:colOff>590550</xdr:colOff>
          <xdr:row>6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0</xdr:rowOff>
        </xdr:from>
        <xdr:to>
          <xdr:col>1</xdr:col>
          <xdr:colOff>647700</xdr:colOff>
          <xdr:row>7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190500</xdr:rowOff>
        </xdr:from>
        <xdr:to>
          <xdr:col>1</xdr:col>
          <xdr:colOff>628650</xdr:colOff>
          <xdr:row>8</xdr:row>
          <xdr:rowOff>19050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7</xdr:row>
          <xdr:rowOff>180975</xdr:rowOff>
        </xdr:from>
        <xdr:to>
          <xdr:col>1</xdr:col>
          <xdr:colOff>638175</xdr:colOff>
          <xdr:row>9</xdr:row>
          <xdr:rowOff>28575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9</xdr:row>
          <xdr:rowOff>171450</xdr:rowOff>
        </xdr:from>
        <xdr:to>
          <xdr:col>1</xdr:col>
          <xdr:colOff>666750</xdr:colOff>
          <xdr:row>11</xdr:row>
          <xdr:rowOff>28575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8</xdr:row>
          <xdr:rowOff>171450</xdr:rowOff>
        </xdr:from>
        <xdr:to>
          <xdr:col>1</xdr:col>
          <xdr:colOff>666750</xdr:colOff>
          <xdr:row>10</xdr:row>
          <xdr:rowOff>28575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010275" cy="87820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</xdr:row>
          <xdr:rowOff>133350</xdr:rowOff>
        </xdr:from>
        <xdr:to>
          <xdr:col>6</xdr:col>
          <xdr:colOff>447675</xdr:colOff>
          <xdr:row>13</xdr:row>
          <xdr:rowOff>152400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142875</xdr:rowOff>
        </xdr:from>
        <xdr:to>
          <xdr:col>6</xdr:col>
          <xdr:colOff>47625</xdr:colOff>
          <xdr:row>16</xdr:row>
          <xdr:rowOff>47625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142875</xdr:rowOff>
        </xdr:from>
        <xdr:to>
          <xdr:col>8</xdr:col>
          <xdr:colOff>733425</xdr:colOff>
          <xdr:row>14</xdr:row>
          <xdr:rowOff>85725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114300</xdr:rowOff>
        </xdr:from>
        <xdr:to>
          <xdr:col>7</xdr:col>
          <xdr:colOff>304800</xdr:colOff>
          <xdr:row>19</xdr:row>
          <xdr:rowOff>133350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133350</xdr:rowOff>
        </xdr:from>
        <xdr:to>
          <xdr:col>9</xdr:col>
          <xdr:colOff>9525</xdr:colOff>
          <xdr:row>19</xdr:row>
          <xdr:rowOff>76200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152400</xdr:rowOff>
        </xdr:from>
        <xdr:to>
          <xdr:col>6</xdr:col>
          <xdr:colOff>714375</xdr:colOff>
          <xdr:row>27</xdr:row>
          <xdr:rowOff>28575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48</xdr:row>
          <xdr:rowOff>9525</xdr:rowOff>
        </xdr:from>
        <xdr:to>
          <xdr:col>6</xdr:col>
          <xdr:colOff>381000</xdr:colOff>
          <xdr:row>50</xdr:row>
          <xdr:rowOff>114300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95250</xdr:rowOff>
        </xdr:from>
        <xdr:to>
          <xdr:col>6</xdr:col>
          <xdr:colOff>695325</xdr:colOff>
          <xdr:row>37</xdr:row>
          <xdr:rowOff>38100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68</xdr:row>
          <xdr:rowOff>76200</xdr:rowOff>
        </xdr:from>
        <xdr:to>
          <xdr:col>8</xdr:col>
          <xdr:colOff>409575</xdr:colOff>
          <xdr:row>70</xdr:row>
          <xdr:rowOff>123825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70</xdr:row>
          <xdr:rowOff>142875</xdr:rowOff>
        </xdr:from>
        <xdr:to>
          <xdr:col>8</xdr:col>
          <xdr:colOff>95250</xdr:colOff>
          <xdr:row>72</xdr:row>
          <xdr:rowOff>47625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78</xdr:row>
          <xdr:rowOff>57150</xdr:rowOff>
        </xdr:from>
        <xdr:to>
          <xdr:col>9</xdr:col>
          <xdr:colOff>57150</xdr:colOff>
          <xdr:row>81</xdr:row>
          <xdr:rowOff>9525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72</xdr:row>
          <xdr:rowOff>85725</xdr:rowOff>
        </xdr:from>
        <xdr:to>
          <xdr:col>9</xdr:col>
          <xdr:colOff>533400</xdr:colOff>
          <xdr:row>75</xdr:row>
          <xdr:rowOff>123825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75</xdr:row>
          <xdr:rowOff>142875</xdr:rowOff>
        </xdr:from>
        <xdr:to>
          <xdr:col>8</xdr:col>
          <xdr:colOff>133350</xdr:colOff>
          <xdr:row>77</xdr:row>
          <xdr:rowOff>38100</xdr:rowOff>
        </xdr:to>
        <xdr:sp macro="" textlink="">
          <xdr:nvSpPr>
            <xdr:cNvPr id="4127" name="Object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13" Type="http://schemas.openxmlformats.org/officeDocument/2006/relationships/image" Target="../media/image13.emf"/><Relationship Id="rId18" Type="http://schemas.openxmlformats.org/officeDocument/2006/relationships/oleObject" Target="../embeddings/oleObject16.bin"/><Relationship Id="rId26" Type="http://schemas.openxmlformats.org/officeDocument/2006/relationships/oleObject" Target="../embeddings/oleObject20.bin"/><Relationship Id="rId3" Type="http://schemas.openxmlformats.org/officeDocument/2006/relationships/vmlDrawing" Target="../drawings/vmlDrawing4.vml"/><Relationship Id="rId21" Type="http://schemas.openxmlformats.org/officeDocument/2006/relationships/image" Target="../media/image17.emf"/><Relationship Id="rId7" Type="http://schemas.openxmlformats.org/officeDocument/2006/relationships/image" Target="../media/image10.emf"/><Relationship Id="rId12" Type="http://schemas.openxmlformats.org/officeDocument/2006/relationships/oleObject" Target="../embeddings/oleObject13.bin"/><Relationship Id="rId17" Type="http://schemas.openxmlformats.org/officeDocument/2006/relationships/image" Target="../media/image15.emf"/><Relationship Id="rId25" Type="http://schemas.openxmlformats.org/officeDocument/2006/relationships/image" Target="../media/image19.emf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5.bin"/><Relationship Id="rId20" Type="http://schemas.openxmlformats.org/officeDocument/2006/relationships/oleObject" Target="../embeddings/oleObject17.bin"/><Relationship Id="rId29" Type="http://schemas.openxmlformats.org/officeDocument/2006/relationships/image" Target="../media/image21.emf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11" Type="http://schemas.openxmlformats.org/officeDocument/2006/relationships/image" Target="../media/image12.emf"/><Relationship Id="rId24" Type="http://schemas.openxmlformats.org/officeDocument/2006/relationships/oleObject" Target="../embeddings/oleObject19.bin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23" Type="http://schemas.openxmlformats.org/officeDocument/2006/relationships/image" Target="../media/image18.emf"/><Relationship Id="rId28" Type="http://schemas.openxmlformats.org/officeDocument/2006/relationships/oleObject" Target="../embeddings/oleObject21.bin"/><Relationship Id="rId10" Type="http://schemas.openxmlformats.org/officeDocument/2006/relationships/oleObject" Target="../embeddings/oleObject12.bin"/><Relationship Id="rId19" Type="http://schemas.openxmlformats.org/officeDocument/2006/relationships/image" Target="../media/image16.emf"/><Relationship Id="rId4" Type="http://schemas.openxmlformats.org/officeDocument/2006/relationships/oleObject" Target="../embeddings/oleObject9.bin"/><Relationship Id="rId9" Type="http://schemas.openxmlformats.org/officeDocument/2006/relationships/image" Target="../media/image11.emf"/><Relationship Id="rId14" Type="http://schemas.openxmlformats.org/officeDocument/2006/relationships/oleObject" Target="../embeddings/oleObject14.bin"/><Relationship Id="rId22" Type="http://schemas.openxmlformats.org/officeDocument/2006/relationships/oleObject" Target="../embeddings/oleObject18.bin"/><Relationship Id="rId27" Type="http://schemas.openxmlformats.org/officeDocument/2006/relationships/image" Target="../media/image20.emf"/><Relationship Id="rId30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6"/>
  <sheetViews>
    <sheetView tabSelected="1" workbookViewId="0">
      <selection activeCell="C28" sqref="C28"/>
    </sheetView>
  </sheetViews>
  <sheetFormatPr baseColWidth="10" defaultRowHeight="12.75" x14ac:dyDescent="0.2"/>
  <cols>
    <col min="1" max="9" width="12.7109375" customWidth="1"/>
    <col min="27" max="27" width="47" customWidth="1"/>
  </cols>
  <sheetData>
    <row r="1" spans="1:27" ht="18" x14ac:dyDescent="0.25">
      <c r="A1" s="43" t="s">
        <v>154</v>
      </c>
    </row>
    <row r="3" spans="1:27" x14ac:dyDescent="0.2">
      <c r="A3" s="1" t="s">
        <v>67</v>
      </c>
      <c r="B3" s="1" t="s">
        <v>57</v>
      </c>
      <c r="C3" s="1" t="s">
        <v>58</v>
      </c>
    </row>
    <row r="4" spans="1:27" x14ac:dyDescent="0.2">
      <c r="A4" s="1" t="s">
        <v>68</v>
      </c>
      <c r="B4" s="113">
        <v>1000</v>
      </c>
      <c r="C4" s="115" t="s">
        <v>132</v>
      </c>
      <c r="AA4" s="39"/>
    </row>
    <row r="5" spans="1:27" x14ac:dyDescent="0.2">
      <c r="B5" s="6"/>
      <c r="AA5" s="39"/>
    </row>
    <row r="6" spans="1:27" x14ac:dyDescent="0.2">
      <c r="A6" s="39" t="s">
        <v>1</v>
      </c>
      <c r="B6" s="114">
        <v>360</v>
      </c>
      <c r="C6" t="s">
        <v>10</v>
      </c>
    </row>
    <row r="7" spans="1:27" ht="15.75" x14ac:dyDescent="0.3">
      <c r="A7" s="39" t="s">
        <v>11</v>
      </c>
      <c r="B7">
        <f>MAX(D17:D116)</f>
        <v>360</v>
      </c>
      <c r="C7" t="s">
        <v>12</v>
      </c>
      <c r="F7" s="39"/>
      <c r="G7" s="15"/>
      <c r="H7" s="181"/>
      <c r="AA7" s="39" t="s">
        <v>133</v>
      </c>
    </row>
    <row r="8" spans="1:27" x14ac:dyDescent="0.2">
      <c r="A8" s="39"/>
      <c r="F8" s="39"/>
      <c r="G8" s="180"/>
      <c r="H8" s="181"/>
      <c r="AA8" s="39" t="s">
        <v>134</v>
      </c>
    </row>
    <row r="9" spans="1:27" x14ac:dyDescent="0.2">
      <c r="A9" s="39"/>
    </row>
    <row r="10" spans="1:27" x14ac:dyDescent="0.2">
      <c r="A10" s="39"/>
    </row>
    <row r="11" spans="1:27" x14ac:dyDescent="0.2">
      <c r="A11" s="40" t="s">
        <v>125</v>
      </c>
      <c r="B11" s="172" t="str">
        <f>IF(MIN(B17:B116)&lt;Auswerteblatt!D17,"Korrekturbedarf: Mindestens eine vollständige Lebensdauer ist kleiner als die ausfallfreie Zeit im Auswerteblatt, Zelle D17!","–")</f>
        <v>–</v>
      </c>
    </row>
    <row r="12" spans="1:27" x14ac:dyDescent="0.2">
      <c r="A12" s="40" t="s">
        <v>126</v>
      </c>
      <c r="B12" s="172" t="str">
        <f>IF(B7&gt;B6,"Korrekturbedarf: Die Anzahl der Lebensdauern übersteigt den Stichprobenumfang!","–")</f>
        <v>–</v>
      </c>
    </row>
    <row r="13" spans="1:27" x14ac:dyDescent="0.2">
      <c r="A13" s="40" t="s">
        <v>129</v>
      </c>
      <c r="B13" s="178" t="str">
        <f>'LN-Transfer'!A19</f>
        <v>–</v>
      </c>
    </row>
    <row r="14" spans="1:27" x14ac:dyDescent="0.2">
      <c r="A14" s="40"/>
      <c r="B14" s="178"/>
    </row>
    <row r="15" spans="1:27" x14ac:dyDescent="0.2">
      <c r="B15" s="39"/>
      <c r="C15" s="195" t="s">
        <v>134</v>
      </c>
    </row>
    <row r="16" spans="1:27" ht="51" x14ac:dyDescent="0.2">
      <c r="A16" s="38" t="s">
        <v>137</v>
      </c>
      <c r="B16" s="38" t="s">
        <v>135</v>
      </c>
      <c r="C16" s="38" t="s">
        <v>138</v>
      </c>
      <c r="D16" s="38" t="s">
        <v>136</v>
      </c>
      <c r="E16" s="38"/>
      <c r="F16" s="38"/>
      <c r="G16" s="38"/>
      <c r="H16" s="38"/>
      <c r="I16" s="37"/>
    </row>
    <row r="17" spans="1:27" x14ac:dyDescent="0.2">
      <c r="A17">
        <v>1</v>
      </c>
      <c r="B17" s="182">
        <v>30</v>
      </c>
      <c r="C17" s="114">
        <v>4</v>
      </c>
      <c r="D17">
        <f>IF(ISNUMBER(C17),C17,"")</f>
        <v>4</v>
      </c>
      <c r="Z17">
        <v>0</v>
      </c>
      <c r="AA17" s="42">
        <f t="shared" ref="AA17:AA26" si="0">10^Z17</f>
        <v>1</v>
      </c>
    </row>
    <row r="18" spans="1:27" x14ac:dyDescent="0.2">
      <c r="A18">
        <v>2</v>
      </c>
      <c r="B18" s="114">
        <v>40</v>
      </c>
      <c r="C18" s="114">
        <v>11</v>
      </c>
      <c r="D18">
        <f>IF(ISNUMBER(C18),IF($C$15=$AA$8,C18,C18+D17),"")</f>
        <v>11</v>
      </c>
      <c r="Z18">
        <v>1</v>
      </c>
      <c r="AA18" s="42">
        <f t="shared" si="0"/>
        <v>10</v>
      </c>
    </row>
    <row r="19" spans="1:27" x14ac:dyDescent="0.2">
      <c r="A19">
        <v>3</v>
      </c>
      <c r="B19" s="114">
        <v>50</v>
      </c>
      <c r="C19" s="114">
        <v>24</v>
      </c>
      <c r="D19">
        <f t="shared" ref="D19:D82" si="1">IF(ISNUMBER(C19),IF($C$15=$AA$8,C19,C19+D18),"")</f>
        <v>24</v>
      </c>
      <c r="Z19">
        <v>2</v>
      </c>
      <c r="AA19" s="42">
        <f t="shared" si="0"/>
        <v>100</v>
      </c>
    </row>
    <row r="20" spans="1:27" x14ac:dyDescent="0.2">
      <c r="A20">
        <v>4</v>
      </c>
      <c r="B20" s="114">
        <v>60</v>
      </c>
      <c r="C20" s="114">
        <v>49</v>
      </c>
      <c r="D20">
        <f t="shared" si="1"/>
        <v>49</v>
      </c>
      <c r="Z20">
        <v>3</v>
      </c>
      <c r="AA20" s="42">
        <f t="shared" si="0"/>
        <v>1000</v>
      </c>
    </row>
    <row r="21" spans="1:27" x14ac:dyDescent="0.2">
      <c r="A21">
        <v>5</v>
      </c>
      <c r="B21" s="114">
        <v>70</v>
      </c>
      <c r="C21" s="114">
        <v>90</v>
      </c>
      <c r="D21">
        <f t="shared" si="1"/>
        <v>90</v>
      </c>
      <c r="Z21">
        <v>4</v>
      </c>
      <c r="AA21" s="42">
        <f t="shared" si="0"/>
        <v>10000</v>
      </c>
    </row>
    <row r="22" spans="1:27" x14ac:dyDescent="0.2">
      <c r="A22">
        <v>6</v>
      </c>
      <c r="B22" s="114">
        <v>80</v>
      </c>
      <c r="C22" s="114">
        <v>140</v>
      </c>
      <c r="D22">
        <f t="shared" si="1"/>
        <v>140</v>
      </c>
      <c r="Z22">
        <v>5</v>
      </c>
      <c r="AA22" s="42">
        <f t="shared" si="0"/>
        <v>100000</v>
      </c>
    </row>
    <row r="23" spans="1:27" x14ac:dyDescent="0.2">
      <c r="A23">
        <v>7</v>
      </c>
      <c r="B23" s="114">
        <v>90</v>
      </c>
      <c r="C23" s="114">
        <v>202</v>
      </c>
      <c r="D23">
        <f t="shared" si="1"/>
        <v>202</v>
      </c>
      <c r="Z23">
        <v>6</v>
      </c>
      <c r="AA23" s="42">
        <f t="shared" si="0"/>
        <v>1000000</v>
      </c>
    </row>
    <row r="24" spans="1:27" x14ac:dyDescent="0.2">
      <c r="A24">
        <v>8</v>
      </c>
      <c r="B24" s="114">
        <v>100</v>
      </c>
      <c r="C24" s="114">
        <v>258</v>
      </c>
      <c r="D24">
        <f t="shared" si="1"/>
        <v>258</v>
      </c>
      <c r="Z24">
        <v>7</v>
      </c>
      <c r="AA24" s="42">
        <f t="shared" si="0"/>
        <v>10000000</v>
      </c>
    </row>
    <row r="25" spans="1:27" x14ac:dyDescent="0.2">
      <c r="A25">
        <v>9</v>
      </c>
      <c r="B25" s="114">
        <v>110</v>
      </c>
      <c r="C25" s="114">
        <v>304</v>
      </c>
      <c r="D25">
        <f t="shared" si="1"/>
        <v>304</v>
      </c>
      <c r="Z25">
        <v>8</v>
      </c>
      <c r="AA25" s="42">
        <f t="shared" si="0"/>
        <v>100000000</v>
      </c>
    </row>
    <row r="26" spans="1:27" x14ac:dyDescent="0.2">
      <c r="A26">
        <v>10</v>
      </c>
      <c r="B26" s="114">
        <v>120</v>
      </c>
      <c r="C26" s="114">
        <v>341</v>
      </c>
      <c r="D26">
        <f t="shared" si="1"/>
        <v>341</v>
      </c>
      <c r="Z26">
        <v>9</v>
      </c>
      <c r="AA26" s="42">
        <f t="shared" si="0"/>
        <v>1000000000</v>
      </c>
    </row>
    <row r="27" spans="1:27" x14ac:dyDescent="0.2">
      <c r="A27">
        <v>11</v>
      </c>
      <c r="B27" s="114">
        <v>130</v>
      </c>
      <c r="C27" s="114">
        <v>354</v>
      </c>
      <c r="D27">
        <f t="shared" si="1"/>
        <v>354</v>
      </c>
      <c r="AA27" s="42"/>
    </row>
    <row r="28" spans="1:27" x14ac:dyDescent="0.2">
      <c r="A28">
        <v>12</v>
      </c>
      <c r="B28" s="114">
        <v>140</v>
      </c>
      <c r="C28" s="114">
        <v>360</v>
      </c>
      <c r="D28">
        <f t="shared" si="1"/>
        <v>360</v>
      </c>
      <c r="AA28" s="42"/>
    </row>
    <row r="29" spans="1:27" x14ac:dyDescent="0.2">
      <c r="A29">
        <v>13</v>
      </c>
      <c r="B29" s="114"/>
      <c r="C29" s="114"/>
      <c r="D29" t="str">
        <f t="shared" si="1"/>
        <v/>
      </c>
      <c r="AA29" s="42"/>
    </row>
    <row r="30" spans="1:27" x14ac:dyDescent="0.2">
      <c r="A30">
        <v>14</v>
      </c>
      <c r="B30" s="114"/>
      <c r="C30" s="114"/>
      <c r="D30" t="str">
        <f t="shared" si="1"/>
        <v/>
      </c>
      <c r="AA30" s="42"/>
    </row>
    <row r="31" spans="1:27" x14ac:dyDescent="0.2">
      <c r="A31">
        <v>15</v>
      </c>
      <c r="B31" s="114"/>
      <c r="C31" s="114"/>
      <c r="D31" t="str">
        <f t="shared" si="1"/>
        <v/>
      </c>
      <c r="AA31" s="42"/>
    </row>
    <row r="32" spans="1:27" x14ac:dyDescent="0.2">
      <c r="A32">
        <v>16</v>
      </c>
      <c r="B32" s="114"/>
      <c r="C32" s="114"/>
      <c r="D32" t="str">
        <f t="shared" si="1"/>
        <v/>
      </c>
      <c r="AA32" s="42"/>
    </row>
    <row r="33" spans="1:27" x14ac:dyDescent="0.2">
      <c r="A33">
        <v>17</v>
      </c>
      <c r="B33" s="114"/>
      <c r="C33" s="114"/>
      <c r="D33" t="str">
        <f t="shared" si="1"/>
        <v/>
      </c>
      <c r="AA33" s="42"/>
    </row>
    <row r="34" spans="1:27" x14ac:dyDescent="0.2">
      <c r="A34">
        <v>18</v>
      </c>
      <c r="B34" s="114"/>
      <c r="C34" s="114"/>
      <c r="D34" t="str">
        <f t="shared" si="1"/>
        <v/>
      </c>
      <c r="AA34" s="42"/>
    </row>
    <row r="35" spans="1:27" x14ac:dyDescent="0.2">
      <c r="A35">
        <v>19</v>
      </c>
      <c r="B35" s="114"/>
      <c r="C35" s="114"/>
      <c r="D35" t="str">
        <f t="shared" si="1"/>
        <v/>
      </c>
      <c r="AA35" s="42"/>
    </row>
    <row r="36" spans="1:27" x14ac:dyDescent="0.2">
      <c r="A36">
        <v>20</v>
      </c>
      <c r="B36" s="114"/>
      <c r="C36" s="114"/>
      <c r="D36" t="str">
        <f t="shared" si="1"/>
        <v/>
      </c>
      <c r="AA36" s="42"/>
    </row>
    <row r="37" spans="1:27" x14ac:dyDescent="0.2">
      <c r="A37">
        <v>21</v>
      </c>
      <c r="B37" s="114"/>
      <c r="C37" s="114"/>
      <c r="D37" t="str">
        <f t="shared" si="1"/>
        <v/>
      </c>
      <c r="AA37" s="42"/>
    </row>
    <row r="38" spans="1:27" x14ac:dyDescent="0.2">
      <c r="A38">
        <v>22</v>
      </c>
      <c r="B38" s="114"/>
      <c r="C38" s="114"/>
      <c r="D38" t="str">
        <f t="shared" si="1"/>
        <v/>
      </c>
      <c r="AA38" s="42"/>
    </row>
    <row r="39" spans="1:27" x14ac:dyDescent="0.2">
      <c r="A39">
        <v>23</v>
      </c>
      <c r="B39" s="114"/>
      <c r="C39" s="114"/>
      <c r="D39" t="str">
        <f t="shared" si="1"/>
        <v/>
      </c>
      <c r="AA39" s="42"/>
    </row>
    <row r="40" spans="1:27" x14ac:dyDescent="0.2">
      <c r="A40">
        <v>24</v>
      </c>
      <c r="B40" s="114"/>
      <c r="C40" s="114"/>
      <c r="D40" t="str">
        <f t="shared" si="1"/>
        <v/>
      </c>
      <c r="AA40" s="42"/>
    </row>
    <row r="41" spans="1:27" x14ac:dyDescent="0.2">
      <c r="A41">
        <v>25</v>
      </c>
      <c r="B41" s="114"/>
      <c r="C41" s="114"/>
      <c r="D41" t="str">
        <f t="shared" si="1"/>
        <v/>
      </c>
      <c r="AA41" s="42"/>
    </row>
    <row r="42" spans="1:27" x14ac:dyDescent="0.2">
      <c r="A42">
        <v>26</v>
      </c>
      <c r="B42" s="114"/>
      <c r="C42" s="114"/>
      <c r="D42" t="str">
        <f t="shared" si="1"/>
        <v/>
      </c>
      <c r="AA42" s="42"/>
    </row>
    <row r="43" spans="1:27" x14ac:dyDescent="0.2">
      <c r="A43">
        <v>27</v>
      </c>
      <c r="B43" s="114"/>
      <c r="C43" s="114"/>
      <c r="D43" t="str">
        <f t="shared" si="1"/>
        <v/>
      </c>
      <c r="AA43" s="42"/>
    </row>
    <row r="44" spans="1:27" x14ac:dyDescent="0.2">
      <c r="A44">
        <v>28</v>
      </c>
      <c r="B44" s="114"/>
      <c r="C44" s="114"/>
      <c r="D44" t="str">
        <f t="shared" si="1"/>
        <v/>
      </c>
      <c r="AA44" s="42"/>
    </row>
    <row r="45" spans="1:27" x14ac:dyDescent="0.2">
      <c r="A45">
        <v>29</v>
      </c>
      <c r="B45" s="114"/>
      <c r="C45" s="114"/>
      <c r="D45" t="str">
        <f t="shared" si="1"/>
        <v/>
      </c>
      <c r="AA45" s="42"/>
    </row>
    <row r="46" spans="1:27" x14ac:dyDescent="0.2">
      <c r="A46">
        <v>30</v>
      </c>
      <c r="B46" s="114"/>
      <c r="C46" s="114"/>
      <c r="D46" t="str">
        <f t="shared" si="1"/>
        <v/>
      </c>
      <c r="AA46" s="42"/>
    </row>
    <row r="47" spans="1:27" x14ac:dyDescent="0.2">
      <c r="A47">
        <v>31</v>
      </c>
      <c r="B47" s="114"/>
      <c r="C47" s="114"/>
      <c r="D47" t="str">
        <f t="shared" si="1"/>
        <v/>
      </c>
      <c r="AA47" s="42"/>
    </row>
    <row r="48" spans="1:27" x14ac:dyDescent="0.2">
      <c r="A48">
        <v>32</v>
      </c>
      <c r="B48" s="114"/>
      <c r="C48" s="114"/>
      <c r="D48" t="str">
        <f t="shared" si="1"/>
        <v/>
      </c>
      <c r="AA48" s="42"/>
    </row>
    <row r="49" spans="1:27" x14ac:dyDescent="0.2">
      <c r="A49">
        <v>33</v>
      </c>
      <c r="B49" s="114"/>
      <c r="C49" s="114"/>
      <c r="D49" t="str">
        <f t="shared" si="1"/>
        <v/>
      </c>
      <c r="AA49" s="42"/>
    </row>
    <row r="50" spans="1:27" x14ac:dyDescent="0.2">
      <c r="A50">
        <v>34</v>
      </c>
      <c r="B50" s="114"/>
      <c r="C50" s="114"/>
      <c r="D50" t="str">
        <f t="shared" si="1"/>
        <v/>
      </c>
      <c r="AA50" s="42"/>
    </row>
    <row r="51" spans="1:27" x14ac:dyDescent="0.2">
      <c r="A51">
        <v>35</v>
      </c>
      <c r="B51" s="114"/>
      <c r="C51" s="114"/>
      <c r="D51" t="str">
        <f t="shared" si="1"/>
        <v/>
      </c>
      <c r="AA51" s="42"/>
    </row>
    <row r="52" spans="1:27" x14ac:dyDescent="0.2">
      <c r="A52">
        <v>36</v>
      </c>
      <c r="B52" s="114"/>
      <c r="C52" s="114"/>
      <c r="D52" t="str">
        <f t="shared" si="1"/>
        <v/>
      </c>
      <c r="AA52" s="42"/>
    </row>
    <row r="53" spans="1:27" x14ac:dyDescent="0.2">
      <c r="A53">
        <v>37</v>
      </c>
      <c r="B53" s="114"/>
      <c r="C53" s="114"/>
      <c r="D53" t="str">
        <f t="shared" si="1"/>
        <v/>
      </c>
      <c r="AA53" s="42"/>
    </row>
    <row r="54" spans="1:27" x14ac:dyDescent="0.2">
      <c r="A54">
        <v>38</v>
      </c>
      <c r="B54" s="114"/>
      <c r="C54" s="114"/>
      <c r="D54" t="str">
        <f t="shared" si="1"/>
        <v/>
      </c>
    </row>
    <row r="55" spans="1:27" x14ac:dyDescent="0.2">
      <c r="A55">
        <v>39</v>
      </c>
      <c r="B55" s="114"/>
      <c r="C55" s="114"/>
      <c r="D55" t="str">
        <f t="shared" si="1"/>
        <v/>
      </c>
    </row>
    <row r="56" spans="1:27" x14ac:dyDescent="0.2">
      <c r="A56">
        <v>40</v>
      </c>
      <c r="B56" s="114"/>
      <c r="C56" s="114"/>
      <c r="D56" t="str">
        <f t="shared" si="1"/>
        <v/>
      </c>
    </row>
    <row r="57" spans="1:27" x14ac:dyDescent="0.2">
      <c r="A57">
        <v>41</v>
      </c>
      <c r="B57" s="114"/>
      <c r="C57" s="114"/>
      <c r="D57" t="str">
        <f t="shared" si="1"/>
        <v/>
      </c>
    </row>
    <row r="58" spans="1:27" x14ac:dyDescent="0.2">
      <c r="A58">
        <v>42</v>
      </c>
      <c r="B58" s="114"/>
      <c r="C58" s="114"/>
      <c r="D58" t="str">
        <f t="shared" si="1"/>
        <v/>
      </c>
    </row>
    <row r="59" spans="1:27" x14ac:dyDescent="0.2">
      <c r="A59">
        <v>43</v>
      </c>
      <c r="B59" s="114"/>
      <c r="C59" s="114"/>
      <c r="D59" t="str">
        <f t="shared" si="1"/>
        <v/>
      </c>
    </row>
    <row r="60" spans="1:27" x14ac:dyDescent="0.2">
      <c r="A60">
        <v>44</v>
      </c>
      <c r="B60" s="114"/>
      <c r="C60" s="114"/>
      <c r="D60" t="str">
        <f t="shared" si="1"/>
        <v/>
      </c>
    </row>
    <row r="61" spans="1:27" x14ac:dyDescent="0.2">
      <c r="A61">
        <v>45</v>
      </c>
      <c r="B61" s="114"/>
      <c r="C61" s="114"/>
      <c r="D61" t="str">
        <f t="shared" si="1"/>
        <v/>
      </c>
    </row>
    <row r="62" spans="1:27" x14ac:dyDescent="0.2">
      <c r="A62">
        <v>46</v>
      </c>
      <c r="B62" s="114"/>
      <c r="C62" s="114"/>
      <c r="D62" t="str">
        <f t="shared" si="1"/>
        <v/>
      </c>
    </row>
    <row r="63" spans="1:27" x14ac:dyDescent="0.2">
      <c r="A63">
        <v>47</v>
      </c>
      <c r="B63" s="114"/>
      <c r="C63" s="114"/>
      <c r="D63" t="str">
        <f t="shared" si="1"/>
        <v/>
      </c>
    </row>
    <row r="64" spans="1:27" x14ac:dyDescent="0.2">
      <c r="A64">
        <v>48</v>
      </c>
      <c r="B64" s="114"/>
      <c r="C64" s="114"/>
      <c r="D64" t="str">
        <f t="shared" si="1"/>
        <v/>
      </c>
    </row>
    <row r="65" spans="1:4" x14ac:dyDescent="0.2">
      <c r="A65">
        <v>49</v>
      </c>
      <c r="B65" s="114"/>
      <c r="C65" s="114"/>
      <c r="D65" t="str">
        <f t="shared" si="1"/>
        <v/>
      </c>
    </row>
    <row r="66" spans="1:4" x14ac:dyDescent="0.2">
      <c r="A66">
        <v>50</v>
      </c>
      <c r="B66" s="114"/>
      <c r="C66" s="114"/>
      <c r="D66" t="str">
        <f t="shared" si="1"/>
        <v/>
      </c>
    </row>
    <row r="67" spans="1:4" x14ac:dyDescent="0.2">
      <c r="A67">
        <v>51</v>
      </c>
      <c r="B67" s="114"/>
      <c r="C67" s="114"/>
      <c r="D67" t="str">
        <f t="shared" si="1"/>
        <v/>
      </c>
    </row>
    <row r="68" spans="1:4" x14ac:dyDescent="0.2">
      <c r="A68">
        <v>52</v>
      </c>
      <c r="B68" s="114"/>
      <c r="C68" s="114"/>
      <c r="D68" t="str">
        <f t="shared" si="1"/>
        <v/>
      </c>
    </row>
    <row r="69" spans="1:4" x14ac:dyDescent="0.2">
      <c r="A69">
        <v>53</v>
      </c>
      <c r="B69" s="114"/>
      <c r="C69" s="114"/>
      <c r="D69" t="str">
        <f t="shared" si="1"/>
        <v/>
      </c>
    </row>
    <row r="70" spans="1:4" x14ac:dyDescent="0.2">
      <c r="A70">
        <v>54</v>
      </c>
      <c r="B70" s="114"/>
      <c r="C70" s="114"/>
      <c r="D70" t="str">
        <f t="shared" si="1"/>
        <v/>
      </c>
    </row>
    <row r="71" spans="1:4" x14ac:dyDescent="0.2">
      <c r="A71">
        <v>55</v>
      </c>
      <c r="B71" s="114"/>
      <c r="C71" s="114"/>
      <c r="D71" t="str">
        <f t="shared" si="1"/>
        <v/>
      </c>
    </row>
    <row r="72" spans="1:4" x14ac:dyDescent="0.2">
      <c r="A72">
        <v>56</v>
      </c>
      <c r="B72" s="114"/>
      <c r="C72" s="114"/>
      <c r="D72" t="str">
        <f t="shared" si="1"/>
        <v/>
      </c>
    </row>
    <row r="73" spans="1:4" x14ac:dyDescent="0.2">
      <c r="A73">
        <v>57</v>
      </c>
      <c r="B73" s="114"/>
      <c r="C73" s="114"/>
      <c r="D73" t="str">
        <f t="shared" si="1"/>
        <v/>
      </c>
    </row>
    <row r="74" spans="1:4" x14ac:dyDescent="0.2">
      <c r="A74">
        <v>58</v>
      </c>
      <c r="B74" s="114"/>
      <c r="C74" s="114"/>
      <c r="D74" t="str">
        <f t="shared" si="1"/>
        <v/>
      </c>
    </row>
    <row r="75" spans="1:4" x14ac:dyDescent="0.2">
      <c r="A75">
        <v>59</v>
      </c>
      <c r="B75" s="114"/>
      <c r="C75" s="114"/>
      <c r="D75" t="str">
        <f t="shared" si="1"/>
        <v/>
      </c>
    </row>
    <row r="76" spans="1:4" x14ac:dyDescent="0.2">
      <c r="A76">
        <v>60</v>
      </c>
      <c r="B76" s="114"/>
      <c r="C76" s="114"/>
      <c r="D76" t="str">
        <f t="shared" si="1"/>
        <v/>
      </c>
    </row>
    <row r="77" spans="1:4" x14ac:dyDescent="0.2">
      <c r="A77">
        <v>61</v>
      </c>
      <c r="B77" s="114"/>
      <c r="C77" s="114"/>
      <c r="D77" t="str">
        <f t="shared" si="1"/>
        <v/>
      </c>
    </row>
    <row r="78" spans="1:4" x14ac:dyDescent="0.2">
      <c r="A78">
        <v>62</v>
      </c>
      <c r="B78" s="114"/>
      <c r="C78" s="114"/>
      <c r="D78" t="str">
        <f t="shared" si="1"/>
        <v/>
      </c>
    </row>
    <row r="79" spans="1:4" x14ac:dyDescent="0.2">
      <c r="A79">
        <v>63</v>
      </c>
      <c r="B79" s="114"/>
      <c r="C79" s="114"/>
      <c r="D79" t="str">
        <f t="shared" si="1"/>
        <v/>
      </c>
    </row>
    <row r="80" spans="1:4" x14ac:dyDescent="0.2">
      <c r="A80">
        <v>64</v>
      </c>
      <c r="B80" s="114"/>
      <c r="C80" s="114"/>
      <c r="D80" t="str">
        <f t="shared" si="1"/>
        <v/>
      </c>
    </row>
    <row r="81" spans="1:4" x14ac:dyDescent="0.2">
      <c r="A81">
        <v>65</v>
      </c>
      <c r="B81" s="114"/>
      <c r="C81" s="114"/>
      <c r="D81" t="str">
        <f t="shared" si="1"/>
        <v/>
      </c>
    </row>
    <row r="82" spans="1:4" x14ac:dyDescent="0.2">
      <c r="A82">
        <v>66</v>
      </c>
      <c r="B82" s="114"/>
      <c r="C82" s="114"/>
      <c r="D82" t="str">
        <f t="shared" si="1"/>
        <v/>
      </c>
    </row>
    <row r="83" spans="1:4" x14ac:dyDescent="0.2">
      <c r="A83">
        <v>67</v>
      </c>
      <c r="B83" s="114"/>
      <c r="C83" s="114"/>
      <c r="D83" t="str">
        <f t="shared" ref="D83:D116" si="2">IF(ISNUMBER(C83),IF($C$15=$AA$8,C83,C83+D82),"")</f>
        <v/>
      </c>
    </row>
    <row r="84" spans="1:4" x14ac:dyDescent="0.2">
      <c r="A84">
        <v>68</v>
      </c>
      <c r="B84" s="114"/>
      <c r="C84" s="114"/>
      <c r="D84" t="str">
        <f t="shared" si="2"/>
        <v/>
      </c>
    </row>
    <row r="85" spans="1:4" x14ac:dyDescent="0.2">
      <c r="A85">
        <v>69</v>
      </c>
      <c r="B85" s="114"/>
      <c r="C85" s="114"/>
      <c r="D85" t="str">
        <f t="shared" si="2"/>
        <v/>
      </c>
    </row>
    <row r="86" spans="1:4" x14ac:dyDescent="0.2">
      <c r="A86">
        <v>70</v>
      </c>
      <c r="B86" s="114"/>
      <c r="C86" s="114"/>
      <c r="D86" t="str">
        <f t="shared" si="2"/>
        <v/>
      </c>
    </row>
    <row r="87" spans="1:4" x14ac:dyDescent="0.2">
      <c r="A87">
        <v>71</v>
      </c>
      <c r="B87" s="114"/>
      <c r="C87" s="114"/>
      <c r="D87" t="str">
        <f t="shared" si="2"/>
        <v/>
      </c>
    </row>
    <row r="88" spans="1:4" x14ac:dyDescent="0.2">
      <c r="A88">
        <v>72</v>
      </c>
      <c r="B88" s="114"/>
      <c r="C88" s="114"/>
      <c r="D88" t="str">
        <f t="shared" si="2"/>
        <v/>
      </c>
    </row>
    <row r="89" spans="1:4" x14ac:dyDescent="0.2">
      <c r="A89">
        <v>73</v>
      </c>
      <c r="B89" s="114"/>
      <c r="C89" s="114"/>
      <c r="D89" t="str">
        <f t="shared" si="2"/>
        <v/>
      </c>
    </row>
    <row r="90" spans="1:4" x14ac:dyDescent="0.2">
      <c r="A90">
        <v>74</v>
      </c>
      <c r="B90" s="114"/>
      <c r="C90" s="114"/>
      <c r="D90" t="str">
        <f t="shared" si="2"/>
        <v/>
      </c>
    </row>
    <row r="91" spans="1:4" x14ac:dyDescent="0.2">
      <c r="A91">
        <v>75</v>
      </c>
      <c r="B91" s="114"/>
      <c r="C91" s="114"/>
      <c r="D91" t="str">
        <f t="shared" si="2"/>
        <v/>
      </c>
    </row>
    <row r="92" spans="1:4" x14ac:dyDescent="0.2">
      <c r="A92">
        <v>76</v>
      </c>
      <c r="B92" s="114"/>
      <c r="C92" s="114"/>
      <c r="D92" t="str">
        <f t="shared" si="2"/>
        <v/>
      </c>
    </row>
    <row r="93" spans="1:4" x14ac:dyDescent="0.2">
      <c r="A93">
        <v>77</v>
      </c>
      <c r="B93" s="114"/>
      <c r="C93" s="114"/>
      <c r="D93" t="str">
        <f t="shared" si="2"/>
        <v/>
      </c>
    </row>
    <row r="94" spans="1:4" x14ac:dyDescent="0.2">
      <c r="A94">
        <v>78</v>
      </c>
      <c r="B94" s="114"/>
      <c r="C94" s="114"/>
      <c r="D94" t="str">
        <f t="shared" si="2"/>
        <v/>
      </c>
    </row>
    <row r="95" spans="1:4" x14ac:dyDescent="0.2">
      <c r="A95">
        <v>79</v>
      </c>
      <c r="B95" s="114"/>
      <c r="C95" s="114"/>
      <c r="D95" t="str">
        <f t="shared" si="2"/>
        <v/>
      </c>
    </row>
    <row r="96" spans="1:4" x14ac:dyDescent="0.2">
      <c r="A96">
        <v>80</v>
      </c>
      <c r="B96" s="114"/>
      <c r="C96" s="114"/>
      <c r="D96" t="str">
        <f t="shared" si="2"/>
        <v/>
      </c>
    </row>
    <row r="97" spans="1:4" x14ac:dyDescent="0.2">
      <c r="A97">
        <v>81</v>
      </c>
      <c r="B97" s="114"/>
      <c r="C97" s="114"/>
      <c r="D97" t="str">
        <f t="shared" si="2"/>
        <v/>
      </c>
    </row>
    <row r="98" spans="1:4" x14ac:dyDescent="0.2">
      <c r="A98">
        <v>82</v>
      </c>
      <c r="B98" s="114"/>
      <c r="C98" s="114"/>
      <c r="D98" t="str">
        <f t="shared" si="2"/>
        <v/>
      </c>
    </row>
    <row r="99" spans="1:4" x14ac:dyDescent="0.2">
      <c r="A99">
        <v>83</v>
      </c>
      <c r="B99" s="114"/>
      <c r="C99" s="114"/>
      <c r="D99" t="str">
        <f t="shared" si="2"/>
        <v/>
      </c>
    </row>
    <row r="100" spans="1:4" x14ac:dyDescent="0.2">
      <c r="A100">
        <v>84</v>
      </c>
      <c r="B100" s="114"/>
      <c r="C100" s="114"/>
      <c r="D100" t="str">
        <f t="shared" si="2"/>
        <v/>
      </c>
    </row>
    <row r="101" spans="1:4" x14ac:dyDescent="0.2">
      <c r="A101">
        <v>85</v>
      </c>
      <c r="B101" s="114"/>
      <c r="C101" s="114"/>
      <c r="D101" t="str">
        <f t="shared" si="2"/>
        <v/>
      </c>
    </row>
    <row r="102" spans="1:4" x14ac:dyDescent="0.2">
      <c r="A102">
        <v>86</v>
      </c>
      <c r="B102" s="114"/>
      <c r="C102" s="114"/>
      <c r="D102" t="str">
        <f t="shared" si="2"/>
        <v/>
      </c>
    </row>
    <row r="103" spans="1:4" x14ac:dyDescent="0.2">
      <c r="A103">
        <v>87</v>
      </c>
      <c r="B103" s="114"/>
      <c r="C103" s="114"/>
      <c r="D103" t="str">
        <f t="shared" si="2"/>
        <v/>
      </c>
    </row>
    <row r="104" spans="1:4" x14ac:dyDescent="0.2">
      <c r="A104">
        <v>88</v>
      </c>
      <c r="B104" s="114"/>
      <c r="C104" s="114"/>
      <c r="D104" t="str">
        <f t="shared" si="2"/>
        <v/>
      </c>
    </row>
    <row r="105" spans="1:4" x14ac:dyDescent="0.2">
      <c r="A105">
        <v>89</v>
      </c>
      <c r="B105" s="114"/>
      <c r="C105" s="114"/>
      <c r="D105" t="str">
        <f t="shared" si="2"/>
        <v/>
      </c>
    </row>
    <row r="106" spans="1:4" x14ac:dyDescent="0.2">
      <c r="A106">
        <v>90</v>
      </c>
      <c r="B106" s="114"/>
      <c r="C106" s="114"/>
      <c r="D106" t="str">
        <f t="shared" si="2"/>
        <v/>
      </c>
    </row>
    <row r="107" spans="1:4" x14ac:dyDescent="0.2">
      <c r="A107">
        <v>91</v>
      </c>
      <c r="B107" s="114"/>
      <c r="C107" s="114"/>
      <c r="D107" t="str">
        <f t="shared" si="2"/>
        <v/>
      </c>
    </row>
    <row r="108" spans="1:4" x14ac:dyDescent="0.2">
      <c r="A108">
        <v>92</v>
      </c>
      <c r="B108" s="114"/>
      <c r="C108" s="114"/>
      <c r="D108" t="str">
        <f t="shared" si="2"/>
        <v/>
      </c>
    </row>
    <row r="109" spans="1:4" x14ac:dyDescent="0.2">
      <c r="A109">
        <v>93</v>
      </c>
      <c r="B109" s="114"/>
      <c r="C109" s="114"/>
      <c r="D109" t="str">
        <f t="shared" si="2"/>
        <v/>
      </c>
    </row>
    <row r="110" spans="1:4" x14ac:dyDescent="0.2">
      <c r="A110">
        <v>94</v>
      </c>
      <c r="B110" s="114"/>
      <c r="C110" s="114"/>
      <c r="D110" t="str">
        <f t="shared" si="2"/>
        <v/>
      </c>
    </row>
    <row r="111" spans="1:4" x14ac:dyDescent="0.2">
      <c r="A111">
        <v>95</v>
      </c>
      <c r="B111" s="114"/>
      <c r="C111" s="114"/>
      <c r="D111" t="str">
        <f t="shared" si="2"/>
        <v/>
      </c>
    </row>
    <row r="112" spans="1:4" x14ac:dyDescent="0.2">
      <c r="A112">
        <v>96</v>
      </c>
      <c r="B112" s="114"/>
      <c r="C112" s="114"/>
      <c r="D112" t="str">
        <f t="shared" si="2"/>
        <v/>
      </c>
    </row>
    <row r="113" spans="1:4" x14ac:dyDescent="0.2">
      <c r="A113">
        <v>97</v>
      </c>
      <c r="B113" s="114"/>
      <c r="C113" s="114"/>
      <c r="D113" t="str">
        <f t="shared" si="2"/>
        <v/>
      </c>
    </row>
    <row r="114" spans="1:4" x14ac:dyDescent="0.2">
      <c r="A114">
        <v>98</v>
      </c>
      <c r="B114" s="114"/>
      <c r="C114" s="114"/>
      <c r="D114" t="str">
        <f t="shared" si="2"/>
        <v/>
      </c>
    </row>
    <row r="115" spans="1:4" x14ac:dyDescent="0.2">
      <c r="A115">
        <v>99</v>
      </c>
      <c r="B115" s="114"/>
      <c r="C115" s="114"/>
      <c r="D115" t="str">
        <f t="shared" si="2"/>
        <v/>
      </c>
    </row>
    <row r="116" spans="1:4" x14ac:dyDescent="0.2">
      <c r="A116">
        <v>100</v>
      </c>
      <c r="B116" s="114"/>
      <c r="C116" s="114"/>
      <c r="D116" t="str">
        <f t="shared" si="2"/>
        <v/>
      </c>
    </row>
  </sheetData>
  <sheetProtection sheet="1" objects="1" scenarios="1"/>
  <phoneticPr fontId="0" type="noConversion"/>
  <dataValidations count="5">
    <dataValidation type="whole" operator="greaterThan" allowBlank="1" showInputMessage="1" showErrorMessage="1" errorTitle="Gültigkeitsprüfung:" error="Der Stichprobenumfang muss eine ganze Zahl &gt;1 sein" sqref="B6">
      <formula1>1</formula1>
    </dataValidation>
    <dataValidation type="list" allowBlank="1" showInputMessage="1" showErrorMessage="1" sqref="B4">
      <formula1>$AA$17:$AA$26</formula1>
    </dataValidation>
    <dataValidation type="decimal" operator="greaterThan" allowBlank="1" showInputMessage="1" showErrorMessage="1" errorTitle="Gültigkeitsprüfung:" error="Lebensdauern müssen Dezimalzahlen und größer als null sein." sqref="B17:B116">
      <formula1>0</formula1>
    </dataValidation>
    <dataValidation type="list" allowBlank="1" showInputMessage="1" showErrorMessage="1" sqref="C15">
      <formula1>$AA$7:$AA$8</formula1>
    </dataValidation>
    <dataValidation type="whole" operator="greaterThan" allowBlank="1" showInputMessage="1" showErrorMessage="1" errorTitle="Gültigkeitsprüfung:" error="Anzahlen müssen ganze Zahlen größer als null sein." sqref="C17:C116">
      <formula1>0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O126"/>
  <sheetViews>
    <sheetView workbookViewId="0">
      <selection activeCell="D17" sqref="D17"/>
    </sheetView>
  </sheetViews>
  <sheetFormatPr baseColWidth="10" defaultRowHeight="12.75" x14ac:dyDescent="0.2"/>
  <cols>
    <col min="1" max="1" width="3.7109375" customWidth="1"/>
    <col min="11" max="11" width="3.7109375" customWidth="1"/>
  </cols>
  <sheetData>
    <row r="1" spans="2:41" ht="18.75" x14ac:dyDescent="0.3">
      <c r="B1" s="199" t="s">
        <v>73</v>
      </c>
      <c r="C1" s="200"/>
      <c r="D1" s="200"/>
      <c r="E1" s="200"/>
      <c r="F1" s="200"/>
      <c r="G1" s="200"/>
      <c r="H1" s="200"/>
      <c r="I1" s="200"/>
      <c r="J1" s="201"/>
      <c r="K1" s="3"/>
      <c r="L1" s="1"/>
      <c r="M1" s="1"/>
      <c r="N1" s="1"/>
      <c r="AH1" s="12"/>
      <c r="AI1" s="3"/>
      <c r="AJ1" s="3"/>
      <c r="AK1" s="3"/>
      <c r="AL1" s="3"/>
      <c r="AM1" s="3"/>
      <c r="AN1" s="3"/>
      <c r="AO1" s="3"/>
    </row>
    <row r="2" spans="2:41" ht="13.5" thickBot="1" x14ac:dyDescent="0.25">
      <c r="B2" s="82"/>
      <c r="C2" s="83"/>
      <c r="D2" s="84"/>
      <c r="E2" s="84"/>
      <c r="F2" s="84"/>
      <c r="G2" s="84"/>
      <c r="H2" s="84"/>
      <c r="I2" s="84"/>
      <c r="J2" s="81"/>
      <c r="K2" s="3"/>
      <c r="AH2" s="3"/>
      <c r="AI2" s="3"/>
      <c r="AJ2" s="3"/>
      <c r="AK2" s="3"/>
      <c r="AL2" s="3"/>
      <c r="AM2" s="3"/>
      <c r="AN2" s="3"/>
      <c r="AO2" s="3"/>
    </row>
    <row r="3" spans="2:41" ht="15.95" customHeight="1" x14ac:dyDescent="0.2">
      <c r="B3" s="85" t="s">
        <v>37</v>
      </c>
      <c r="C3" s="72"/>
      <c r="D3" s="136" t="s">
        <v>60</v>
      </c>
      <c r="E3" s="8"/>
      <c r="F3" s="8"/>
      <c r="G3" s="8"/>
      <c r="H3" s="140"/>
      <c r="I3" s="8"/>
      <c r="J3" s="73"/>
      <c r="K3" s="3"/>
      <c r="L3" s="3" t="s">
        <v>38</v>
      </c>
      <c r="M3" s="3"/>
      <c r="N3" s="3"/>
      <c r="AH3" s="3"/>
      <c r="AI3" s="3"/>
      <c r="AJ3" s="3"/>
      <c r="AK3" s="3"/>
      <c r="AL3" s="3"/>
      <c r="AM3" s="3"/>
      <c r="AN3" s="3"/>
      <c r="AO3" s="3"/>
    </row>
    <row r="4" spans="2:41" ht="15.95" customHeight="1" x14ac:dyDescent="0.2">
      <c r="B4" s="126" t="s">
        <v>62</v>
      </c>
      <c r="C4" s="130">
        <f>L5</f>
        <v>4.0664522363325082</v>
      </c>
      <c r="D4" s="136" t="s">
        <v>59</v>
      </c>
      <c r="E4" s="8"/>
      <c r="F4" s="8"/>
      <c r="G4" s="74"/>
      <c r="H4" s="140" t="s">
        <v>56</v>
      </c>
      <c r="I4" s="74"/>
      <c r="J4" s="73"/>
      <c r="K4" s="3"/>
      <c r="L4" s="142">
        <f>INTERCEPT(M18:M117,L18:L117)</f>
        <v>-18.477733811996742</v>
      </c>
      <c r="M4" s="135" t="s">
        <v>82</v>
      </c>
      <c r="N4" s="135"/>
      <c r="AH4" s="3"/>
      <c r="AI4" s="3"/>
      <c r="AJ4" s="3"/>
      <c r="AK4" s="3"/>
      <c r="AL4" s="3"/>
      <c r="AM4" s="3"/>
      <c r="AN4" s="3"/>
      <c r="AO4" s="3"/>
    </row>
    <row r="5" spans="2:41" ht="15.95" customHeight="1" x14ac:dyDescent="0.2">
      <c r="B5" s="126" t="s">
        <v>62</v>
      </c>
      <c r="C5" s="131">
        <f>D17</f>
        <v>0</v>
      </c>
      <c r="D5" s="137" t="s">
        <v>64</v>
      </c>
      <c r="H5" s="140" t="str">
        <f>IF(Daten!$B$4=1,CONCATENATE("in ",Daten!$C$4),CONCATENATE("in ",Daten!$B$4," ",Daten!$C$4))</f>
        <v>in 1000 km</v>
      </c>
      <c r="I5" s="8"/>
      <c r="J5" s="73"/>
      <c r="K5" s="3"/>
      <c r="L5" s="143">
        <f>SLOPE(M18:M117,L18:L117)</f>
        <v>4.0664522363325082</v>
      </c>
      <c r="M5" s="135" t="s">
        <v>83</v>
      </c>
      <c r="N5" s="135"/>
      <c r="AH5" s="3"/>
      <c r="AI5" s="3"/>
      <c r="AJ5" s="3"/>
      <c r="AK5" s="3"/>
      <c r="AL5" s="3"/>
      <c r="AM5" s="3"/>
      <c r="AN5" s="3"/>
      <c r="AO5" s="3"/>
    </row>
    <row r="6" spans="2:41" ht="15.95" customHeight="1" x14ac:dyDescent="0.2">
      <c r="B6" s="126" t="s">
        <v>62</v>
      </c>
      <c r="C6" s="132">
        <f>C7+D17</f>
        <v>94.061105760299242</v>
      </c>
      <c r="D6" s="138" t="s">
        <v>63</v>
      </c>
      <c r="E6" s="7"/>
      <c r="F6" s="7"/>
      <c r="G6" s="76"/>
      <c r="H6" s="140" t="str">
        <f>IF(Daten!$B$4=1,CONCATENATE("in ",Daten!$C$4),CONCATENATE("in ",Daten!$B$4," ",Daten!$C$4))</f>
        <v>in 1000 km</v>
      </c>
      <c r="I6" s="77"/>
      <c r="J6" s="73"/>
      <c r="K6" s="3"/>
      <c r="L6" s="144">
        <f>RSQ(M18:M117,L18:L117)</f>
        <v>0.99825003029037829</v>
      </c>
      <c r="M6" s="135" t="s">
        <v>84</v>
      </c>
      <c r="N6" s="135"/>
      <c r="AH6" s="3"/>
      <c r="AI6" s="3"/>
      <c r="AJ6" s="3"/>
      <c r="AK6" s="3"/>
      <c r="AL6" s="3"/>
      <c r="AM6" s="3"/>
      <c r="AN6" s="3"/>
      <c r="AO6" s="3"/>
    </row>
    <row r="7" spans="2:41" ht="15.95" customHeight="1" x14ac:dyDescent="0.2">
      <c r="B7" s="126" t="s">
        <v>62</v>
      </c>
      <c r="C7" s="75">
        <f>EXP(-L4/L5)</f>
        <v>94.061105760299242</v>
      </c>
      <c r="D7" s="136" t="s">
        <v>76</v>
      </c>
      <c r="E7" s="8"/>
      <c r="F7" s="8"/>
      <c r="G7" s="8"/>
      <c r="H7" s="140" t="str">
        <f>IF(Daten!$B$4=1,CONCATENATE("in ",Daten!$C$4),CONCATENATE("in ",Daten!$B$4," ",Daten!$C$4))</f>
        <v>in 1000 km</v>
      </c>
      <c r="I7" s="77"/>
      <c r="J7" s="73"/>
      <c r="K7" s="3"/>
      <c r="L7" s="145">
        <f>STEYX(M18:M117,L18:L117)</f>
        <v>8.4855841627224329E-2</v>
      </c>
      <c r="M7" s="135" t="s">
        <v>85</v>
      </c>
      <c r="N7" s="135"/>
      <c r="AH7" s="3"/>
      <c r="AI7" s="3"/>
      <c r="AJ7" s="3"/>
      <c r="AK7" s="3"/>
      <c r="AL7" s="3"/>
      <c r="AM7" s="3"/>
      <c r="AN7" s="3"/>
      <c r="AO7" s="3"/>
    </row>
    <row r="8" spans="2:41" ht="15.95" customHeight="1" x14ac:dyDescent="0.2">
      <c r="B8" s="126" t="s">
        <v>62</v>
      </c>
      <c r="C8" s="147">
        <f>D17+C7*(EXP(GAMMALN(1+1/C4)))</f>
        <v>85.337334236955044</v>
      </c>
      <c r="D8" s="138" t="s">
        <v>65</v>
      </c>
      <c r="E8" s="7"/>
      <c r="F8" s="7"/>
      <c r="G8" s="76"/>
      <c r="H8" s="140" t="str">
        <f>IF(Daten!$B$4=1,CONCATENATE("in ",Daten!$C$4),CONCATENATE("in ",Daten!$B$4," ",Daten!$C$4))</f>
        <v>in 1000 km</v>
      </c>
      <c r="I8" s="77"/>
      <c r="J8" s="73"/>
      <c r="K8" s="3"/>
      <c r="L8" s="146">
        <f>COUNT(M18:M117)</f>
        <v>11</v>
      </c>
      <c r="M8" s="135" t="s">
        <v>88</v>
      </c>
      <c r="N8" s="135"/>
      <c r="AH8" s="3"/>
      <c r="AI8" s="3"/>
      <c r="AJ8" s="3"/>
      <c r="AK8" s="3"/>
      <c r="AL8" s="3"/>
      <c r="AM8" s="3"/>
      <c r="AN8" s="3"/>
      <c r="AO8" s="3"/>
    </row>
    <row r="9" spans="2:41" ht="15.95" customHeight="1" x14ac:dyDescent="0.2">
      <c r="B9" s="126" t="s">
        <v>62</v>
      </c>
      <c r="C9" s="134">
        <f>C7*SQRT(EXP(GAMMALN(1+2/C4))-(EXP(GAMMALN(1+1/C4)))^2)</f>
        <v>23.586700654337442</v>
      </c>
      <c r="D9" s="138" t="s">
        <v>66</v>
      </c>
      <c r="E9" s="7"/>
      <c r="F9" s="7"/>
      <c r="G9" s="76"/>
      <c r="H9" s="140" t="str">
        <f>IF(Daten!$B$4=1,CONCATENATE("in ",Daten!$C$4),CONCATENATE("in ",Daten!$B$4," ",Daten!$C$4))</f>
        <v>in 1000 km</v>
      </c>
      <c r="I9" s="77"/>
      <c r="J9" s="73"/>
      <c r="K9" s="3"/>
      <c r="L9" s="146">
        <f>VAR(L18:L117)*(L8-1)</f>
        <v>2.2355451705431904</v>
      </c>
      <c r="M9" s="135" t="s">
        <v>86</v>
      </c>
      <c r="N9" s="135"/>
      <c r="AH9" s="3"/>
      <c r="AI9" s="3"/>
      <c r="AJ9" s="3"/>
      <c r="AK9" s="3"/>
      <c r="AL9" s="3"/>
      <c r="AM9" s="3"/>
      <c r="AN9" s="3"/>
      <c r="AO9" s="3"/>
    </row>
    <row r="10" spans="2:41" ht="15.95" customHeight="1" x14ac:dyDescent="0.2">
      <c r="B10" s="126" t="s">
        <v>62</v>
      </c>
      <c r="C10" s="75">
        <f>$C$7*(-LN(0.5))^(1/$C$4)+$C$5</f>
        <v>85.954127419834691</v>
      </c>
      <c r="D10" s="138" t="s">
        <v>75</v>
      </c>
      <c r="E10" s="7"/>
      <c r="F10" s="7"/>
      <c r="G10" s="76"/>
      <c r="H10" s="140" t="str">
        <f>IF(Daten!$B$4=1,CONCATENATE("in ",Daten!$C$4),CONCATENATE("in ",Daten!$B$4," ",Daten!$C$4))</f>
        <v>in 1000 km</v>
      </c>
      <c r="I10" s="77"/>
      <c r="J10" s="73"/>
      <c r="K10" s="3"/>
      <c r="L10" s="146">
        <f>SUM(N18:N117)</f>
        <v>204.6587898878031</v>
      </c>
      <c r="M10" s="135" t="s">
        <v>87</v>
      </c>
      <c r="N10" s="135"/>
      <c r="AH10" s="3"/>
      <c r="AI10" s="3"/>
      <c r="AJ10" s="3"/>
      <c r="AK10" s="3"/>
      <c r="AL10" s="3"/>
      <c r="AM10" s="3"/>
      <c r="AN10" s="3"/>
      <c r="AO10" s="3"/>
    </row>
    <row r="11" spans="2:41" ht="15.95" customHeight="1" thickBot="1" x14ac:dyDescent="0.25">
      <c r="B11" s="127" t="s">
        <v>62</v>
      </c>
      <c r="C11" s="148">
        <f>$C$7*(-LN(0.9))^(1/$C$4)+$C$5</f>
        <v>54.084435049959581</v>
      </c>
      <c r="D11" s="139" t="s">
        <v>74</v>
      </c>
      <c r="E11" s="78"/>
      <c r="F11" s="78"/>
      <c r="G11" s="79"/>
      <c r="H11" s="141" t="str">
        <f>IF(Daten!$B$4=1,CONCATENATE("in ",Daten!$C$4),CONCATENATE("in ",Daten!$B$4," ",Daten!$C$4))</f>
        <v>in 1000 km</v>
      </c>
      <c r="I11" s="80"/>
      <c r="J11" s="81"/>
      <c r="K11" s="3"/>
      <c r="L11" s="185">
        <f>AVERAGE(L18:L117)</f>
        <v>4.2897684268634526</v>
      </c>
      <c r="M11" s="135" t="s">
        <v>141</v>
      </c>
      <c r="N11" s="3"/>
      <c r="AH11" s="3"/>
      <c r="AI11" s="3"/>
      <c r="AJ11" s="3"/>
      <c r="AK11" s="3"/>
      <c r="AL11" s="3"/>
      <c r="AM11" s="3"/>
      <c r="AN11" s="3"/>
      <c r="AO11" s="3"/>
    </row>
    <row r="12" spans="2:41" ht="13.5" thickBot="1" x14ac:dyDescent="0.25">
      <c r="H12" s="5"/>
      <c r="J12" s="3"/>
      <c r="K12" s="3"/>
      <c r="L12" s="10" t="s">
        <v>140</v>
      </c>
      <c r="AE12" s="8"/>
      <c r="AF12" s="8"/>
      <c r="AG12" s="8"/>
      <c r="AH12" s="16"/>
      <c r="AI12" s="3"/>
      <c r="AJ12" s="3"/>
      <c r="AK12" s="3"/>
      <c r="AL12" s="3"/>
      <c r="AM12" s="3"/>
      <c r="AN12" s="3"/>
      <c r="AO12" s="3"/>
    </row>
    <row r="13" spans="2:41" ht="63.75" x14ac:dyDescent="0.3">
      <c r="B13" s="117" t="s">
        <v>155</v>
      </c>
      <c r="C13" s="118" t="s">
        <v>156</v>
      </c>
      <c r="D13" s="118" t="s">
        <v>29</v>
      </c>
      <c r="E13" s="118" t="s">
        <v>24</v>
      </c>
      <c r="F13" s="123" t="s">
        <v>25</v>
      </c>
      <c r="G13" s="118" t="s">
        <v>0</v>
      </c>
      <c r="H13" s="123" t="s">
        <v>26</v>
      </c>
      <c r="I13" s="118" t="s">
        <v>27</v>
      </c>
      <c r="J13" s="119" t="s">
        <v>28</v>
      </c>
      <c r="K13" s="1"/>
      <c r="L13" s="1" t="s">
        <v>77</v>
      </c>
      <c r="M13" s="1" t="s">
        <v>78</v>
      </c>
      <c r="N13" s="1" t="s">
        <v>81</v>
      </c>
      <c r="AE13" s="8"/>
      <c r="AF13" s="8"/>
      <c r="AG13" s="8"/>
      <c r="AH13" s="16"/>
      <c r="AI13" s="3"/>
      <c r="AJ13" s="3"/>
      <c r="AK13" s="3"/>
      <c r="AL13" s="3"/>
      <c r="AM13" s="3"/>
      <c r="AN13" s="3"/>
      <c r="AO13" s="3"/>
    </row>
    <row r="14" spans="2:41" ht="15.75" x14ac:dyDescent="0.3">
      <c r="B14" s="120" t="s">
        <v>23</v>
      </c>
      <c r="C14" s="121" t="s">
        <v>30</v>
      </c>
      <c r="D14" s="121" t="s">
        <v>61</v>
      </c>
      <c r="E14" s="121" t="s">
        <v>31</v>
      </c>
      <c r="F14" s="124"/>
      <c r="G14" s="121" t="s">
        <v>32</v>
      </c>
      <c r="H14" s="125" t="s">
        <v>35</v>
      </c>
      <c r="I14" s="121" t="s">
        <v>33</v>
      </c>
      <c r="J14" s="122" t="s">
        <v>34</v>
      </c>
      <c r="K14" s="1"/>
      <c r="L14" s="1" t="s">
        <v>79</v>
      </c>
      <c r="M14" s="40" t="s">
        <v>80</v>
      </c>
      <c r="AE14" s="8"/>
      <c r="AF14" s="8"/>
      <c r="AG14" s="8"/>
      <c r="AH14" s="16"/>
      <c r="AI14" s="3"/>
      <c r="AJ14" s="3"/>
      <c r="AK14" s="3"/>
      <c r="AL14" s="3"/>
      <c r="AM14" s="3"/>
      <c r="AN14" s="3"/>
      <c r="AO14" s="3"/>
    </row>
    <row r="15" spans="2:41" ht="13.5" thickBot="1" x14ac:dyDescent="0.25">
      <c r="B15" s="58" t="s">
        <v>13</v>
      </c>
      <c r="C15" s="59" t="s">
        <v>14</v>
      </c>
      <c r="D15" s="59" t="s">
        <v>15</v>
      </c>
      <c r="E15" s="59" t="s">
        <v>16</v>
      </c>
      <c r="F15" s="61" t="s">
        <v>17</v>
      </c>
      <c r="G15" s="59" t="s">
        <v>18</v>
      </c>
      <c r="H15" s="61" t="s">
        <v>19</v>
      </c>
      <c r="I15" s="59" t="s">
        <v>20</v>
      </c>
      <c r="J15" s="60" t="s">
        <v>21</v>
      </c>
      <c r="M15" s="19"/>
      <c r="AE15" s="8"/>
      <c r="AF15" s="8"/>
      <c r="AG15" s="8"/>
      <c r="AH15" s="16"/>
      <c r="AI15" s="3"/>
      <c r="AJ15" s="3"/>
      <c r="AK15" s="3"/>
      <c r="AL15" s="3"/>
      <c r="AM15" s="3"/>
      <c r="AN15" s="3"/>
      <c r="AO15" s="3"/>
    </row>
    <row r="16" spans="2:41" ht="14.25" x14ac:dyDescent="0.25">
      <c r="B16" s="53"/>
      <c r="C16" s="54"/>
      <c r="D16" s="70" t="s">
        <v>36</v>
      </c>
      <c r="E16" s="55"/>
      <c r="F16" s="62"/>
      <c r="G16" s="55" t="s">
        <v>1</v>
      </c>
      <c r="H16" s="66"/>
      <c r="I16" s="56"/>
      <c r="J16" s="57"/>
      <c r="L16" s="4"/>
      <c r="M16" s="8"/>
      <c r="AE16" s="8"/>
      <c r="AF16" s="8"/>
      <c r="AG16" s="8"/>
      <c r="AH16" s="16"/>
      <c r="AI16" s="3"/>
      <c r="AJ16" s="3"/>
      <c r="AK16" s="3"/>
      <c r="AL16" s="3"/>
      <c r="AM16" s="3"/>
      <c r="AN16" s="3"/>
      <c r="AO16" s="3"/>
    </row>
    <row r="17" spans="2:41" x14ac:dyDescent="0.2">
      <c r="B17" s="44">
        <v>0</v>
      </c>
      <c r="C17" s="129">
        <f>C18*0.99999</f>
        <v>29.999700000000001</v>
      </c>
      <c r="D17" s="116">
        <v>0</v>
      </c>
      <c r="E17" s="69" t="s">
        <v>2</v>
      </c>
      <c r="F17" s="63" t="s">
        <v>2</v>
      </c>
      <c r="G17" s="128">
        <f>Daten!B6</f>
        <v>360</v>
      </c>
      <c r="H17" s="63" t="s">
        <v>2</v>
      </c>
      <c r="I17" s="45">
        <v>0</v>
      </c>
      <c r="J17" s="46">
        <v>0</v>
      </c>
      <c r="M17" s="8"/>
      <c r="AE17" s="8"/>
      <c r="AF17" s="8"/>
      <c r="AG17" s="8"/>
      <c r="AH17" s="16"/>
      <c r="AI17" s="3"/>
      <c r="AJ17" s="3"/>
      <c r="AK17" s="3"/>
      <c r="AL17" s="3"/>
      <c r="AM17" s="3"/>
      <c r="AN17" s="3"/>
      <c r="AO17" s="3"/>
    </row>
    <row r="18" spans="2:41" x14ac:dyDescent="0.2">
      <c r="B18" s="47">
        <f t="shared" ref="B18:B49" si="0">B17+1</f>
        <v>1</v>
      </c>
      <c r="C18" s="48">
        <f>IF(ISNUMBER(Daten!B17),Daten!B17,"")</f>
        <v>30</v>
      </c>
      <c r="D18" s="71">
        <f>$C18-$D$17</f>
        <v>30</v>
      </c>
      <c r="E18" s="49">
        <f>IF(ISNUMBER(I18),I18,"")</f>
        <v>4</v>
      </c>
      <c r="F18" s="64"/>
      <c r="G18" s="49">
        <f>IF(ISNUMBER(E18),G17-E18,"")</f>
        <v>356</v>
      </c>
      <c r="H18" s="67"/>
      <c r="I18" s="183">
        <f>IF(ISNUMBER(Daten!C17),Daten!D17,"")</f>
        <v>4</v>
      </c>
      <c r="J18" s="50">
        <f>IF(ISNUMBER(C18),(I18/$G$17),"")</f>
        <v>1.1111111111111112E-2</v>
      </c>
      <c r="K18" s="18"/>
      <c r="L18" s="4">
        <f>IF(ISNUMBER(J18),IF(J18&lt;1,LN(D18),"")," ")</f>
        <v>3.4011973816621555</v>
      </c>
      <c r="M18" s="9">
        <f>IF(ISNUMBER(J18),IF(J18&lt;1,LN(LN(1/(1-J18))),""),"")</f>
        <v>-4.4942282218027154</v>
      </c>
      <c r="N18">
        <f t="shared" ref="N18:N49" si="1">IF(ISNUMBER(L18),L18^2,"")</f>
        <v>11.568143629025503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8"/>
      <c r="AH18" s="17"/>
      <c r="AI18" s="13"/>
      <c r="AJ18" s="13"/>
      <c r="AK18" s="3"/>
      <c r="AL18" s="3"/>
      <c r="AM18" s="3"/>
      <c r="AN18" s="3"/>
      <c r="AO18" s="3"/>
    </row>
    <row r="19" spans="2:41" x14ac:dyDescent="0.2">
      <c r="B19" s="47">
        <f t="shared" si="0"/>
        <v>2</v>
      </c>
      <c r="C19" s="48">
        <f>IF(ISNUMBER(Daten!B18),Daten!B18,"")</f>
        <v>40</v>
      </c>
      <c r="D19" s="48">
        <f t="shared" ref="D19:D52" si="2">IF(ISNUMBER(C19),C19-D$17,"")</f>
        <v>40</v>
      </c>
      <c r="E19" s="49">
        <f>IF(ISNUMBER(I19),I19-I18,"")</f>
        <v>7</v>
      </c>
      <c r="F19" s="64"/>
      <c r="G19" s="49">
        <f t="shared" ref="G19:G82" si="3">IF(ISNUMBER(E19),G18-E19,"")</f>
        <v>349</v>
      </c>
      <c r="H19" s="67"/>
      <c r="I19" s="183">
        <f>IF(ISNUMBER(Daten!C18),Daten!D18,"")</f>
        <v>11</v>
      </c>
      <c r="J19" s="50">
        <f t="shared" ref="J19:J82" si="4">IF(ISNUMBER(C19),(I19/$G$17),"")</f>
        <v>3.0555555555555555E-2</v>
      </c>
      <c r="K19" s="18"/>
      <c r="L19" s="4">
        <f t="shared" ref="L19:L82" si="5">IF(ISNUMBER(J19),IF(J19&lt;1,LN(D19),"")," ")</f>
        <v>3.6888794541139363</v>
      </c>
      <c r="M19" s="9">
        <f t="shared" ref="M19:M82" si="6">IF(ISNUMBER(J19),IF(J19&lt;1,LN(LN(1/(1-J19))),""),"")</f>
        <v>-3.4727328283644452</v>
      </c>
      <c r="N19">
        <f t="shared" si="1"/>
        <v>13.607831626983932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8"/>
      <c r="AH19" s="17"/>
      <c r="AI19" s="13"/>
      <c r="AJ19" s="13"/>
      <c r="AK19" s="14"/>
      <c r="AL19" s="14"/>
      <c r="AM19" s="15"/>
      <c r="AN19" s="3"/>
      <c r="AO19" s="15"/>
    </row>
    <row r="20" spans="2:41" x14ac:dyDescent="0.2">
      <c r="B20" s="47">
        <f t="shared" si="0"/>
        <v>3</v>
      </c>
      <c r="C20" s="48">
        <f>IF(ISNUMBER(Daten!B19),Daten!B19,"")</f>
        <v>50</v>
      </c>
      <c r="D20" s="48">
        <f t="shared" si="2"/>
        <v>50</v>
      </c>
      <c r="E20" s="49">
        <f t="shared" ref="E20:E83" si="7">IF(ISNUMBER(I20),I20-I19,"")</f>
        <v>13</v>
      </c>
      <c r="F20" s="64"/>
      <c r="G20" s="49">
        <f t="shared" si="3"/>
        <v>336</v>
      </c>
      <c r="H20" s="67"/>
      <c r="I20" s="183">
        <f>IF(ISNUMBER(Daten!C19),Daten!D19,"")</f>
        <v>24</v>
      </c>
      <c r="J20" s="50">
        <f t="shared" si="4"/>
        <v>6.6666666666666666E-2</v>
      </c>
      <c r="K20" s="18"/>
      <c r="L20" s="4">
        <f t="shared" si="5"/>
        <v>3.912023005428146</v>
      </c>
      <c r="M20" s="9">
        <f t="shared" si="6"/>
        <v>-2.6737520915052202</v>
      </c>
      <c r="N20">
        <f t="shared" si="1"/>
        <v>15.303923994999064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8"/>
      <c r="AH20" s="17"/>
      <c r="AI20" s="13"/>
      <c r="AJ20" s="13"/>
      <c r="AK20" s="14"/>
      <c r="AL20" s="14"/>
      <c r="AM20" s="15"/>
      <c r="AN20" s="3"/>
      <c r="AO20" s="15"/>
    </row>
    <row r="21" spans="2:41" x14ac:dyDescent="0.2">
      <c r="B21" s="47">
        <f t="shared" si="0"/>
        <v>4</v>
      </c>
      <c r="C21" s="48">
        <f>IF(ISNUMBER(Daten!B20),Daten!B20,"")</f>
        <v>60</v>
      </c>
      <c r="D21" s="48">
        <f t="shared" si="2"/>
        <v>60</v>
      </c>
      <c r="E21" s="49">
        <f t="shared" si="7"/>
        <v>25</v>
      </c>
      <c r="F21" s="64"/>
      <c r="G21" s="49">
        <f t="shared" si="3"/>
        <v>311</v>
      </c>
      <c r="H21" s="67"/>
      <c r="I21" s="183">
        <f>IF(ISNUMBER(Daten!C20),Daten!D20,"")</f>
        <v>49</v>
      </c>
      <c r="J21" s="50">
        <f t="shared" si="4"/>
        <v>0.1361111111111111</v>
      </c>
      <c r="K21" s="18"/>
      <c r="L21" s="4">
        <f t="shared" si="5"/>
        <v>4.0943445622221004</v>
      </c>
      <c r="M21" s="9">
        <f t="shared" si="6"/>
        <v>-1.922019970625281</v>
      </c>
      <c r="N21">
        <f t="shared" si="1"/>
        <v>16.763657394197683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8"/>
      <c r="AH21" s="17"/>
      <c r="AI21" s="13"/>
      <c r="AJ21" s="13"/>
      <c r="AK21" s="14"/>
      <c r="AL21" s="14"/>
      <c r="AM21" s="15"/>
      <c r="AN21" s="3"/>
      <c r="AO21" s="15"/>
    </row>
    <row r="22" spans="2:41" x14ac:dyDescent="0.2">
      <c r="B22" s="47">
        <f t="shared" si="0"/>
        <v>5</v>
      </c>
      <c r="C22" s="48">
        <f>IF(ISNUMBER(Daten!B21),Daten!B21,"")</f>
        <v>70</v>
      </c>
      <c r="D22" s="48">
        <f t="shared" si="2"/>
        <v>70</v>
      </c>
      <c r="E22" s="49">
        <f t="shared" si="7"/>
        <v>41</v>
      </c>
      <c r="F22" s="64"/>
      <c r="G22" s="49">
        <f t="shared" si="3"/>
        <v>270</v>
      </c>
      <c r="H22" s="67"/>
      <c r="I22" s="183">
        <f>IF(ISNUMBER(Daten!C21),Daten!D21,"")</f>
        <v>90</v>
      </c>
      <c r="J22" s="50">
        <f t="shared" si="4"/>
        <v>0.25</v>
      </c>
      <c r="K22" s="18"/>
      <c r="L22" s="4">
        <f t="shared" si="5"/>
        <v>4.2484952420493594</v>
      </c>
      <c r="M22" s="9">
        <f t="shared" si="6"/>
        <v>-1.2458993237072384</v>
      </c>
      <c r="N22">
        <f t="shared" si="1"/>
        <v>18.049711821716045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8"/>
      <c r="AH22" s="17"/>
      <c r="AI22" s="13"/>
      <c r="AJ22" s="13"/>
      <c r="AK22" s="14"/>
      <c r="AL22" s="14"/>
      <c r="AM22" s="15"/>
      <c r="AN22" s="3"/>
      <c r="AO22" s="15"/>
    </row>
    <row r="23" spans="2:41" x14ac:dyDescent="0.2">
      <c r="B23" s="47">
        <f t="shared" si="0"/>
        <v>6</v>
      </c>
      <c r="C23" s="48">
        <f>IF(ISNUMBER(Daten!B22),Daten!B22,"")</f>
        <v>80</v>
      </c>
      <c r="D23" s="48">
        <f t="shared" si="2"/>
        <v>80</v>
      </c>
      <c r="E23" s="49">
        <f t="shared" si="7"/>
        <v>50</v>
      </c>
      <c r="F23" s="64"/>
      <c r="G23" s="49">
        <f t="shared" si="3"/>
        <v>220</v>
      </c>
      <c r="H23" s="67"/>
      <c r="I23" s="183">
        <f>IF(ISNUMBER(Daten!C22),Daten!D22,"")</f>
        <v>140</v>
      </c>
      <c r="J23" s="50">
        <f t="shared" si="4"/>
        <v>0.3888888888888889</v>
      </c>
      <c r="K23" s="18"/>
      <c r="L23" s="4">
        <f t="shared" si="5"/>
        <v>4.3820266346738812</v>
      </c>
      <c r="M23" s="9">
        <f t="shared" si="6"/>
        <v>-0.70830856550419652</v>
      </c>
      <c r="N23">
        <f t="shared" si="1"/>
        <v>19.202157426991302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8"/>
      <c r="AH23" s="17"/>
      <c r="AI23" s="13"/>
      <c r="AJ23" s="13"/>
      <c r="AK23" s="14"/>
      <c r="AL23" s="14"/>
      <c r="AM23" s="15"/>
      <c r="AN23" s="3"/>
      <c r="AO23" s="15"/>
    </row>
    <row r="24" spans="2:41" x14ac:dyDescent="0.2">
      <c r="B24" s="47">
        <f t="shared" si="0"/>
        <v>7</v>
      </c>
      <c r="C24" s="48">
        <f>IF(ISNUMBER(Daten!B23),Daten!B23,"")</f>
        <v>90</v>
      </c>
      <c r="D24" s="48">
        <f t="shared" si="2"/>
        <v>90</v>
      </c>
      <c r="E24" s="49">
        <f t="shared" si="7"/>
        <v>62</v>
      </c>
      <c r="F24" s="64"/>
      <c r="G24" s="49">
        <f t="shared" si="3"/>
        <v>158</v>
      </c>
      <c r="H24" s="67"/>
      <c r="I24" s="183">
        <f>IF(ISNUMBER(Daten!C23),Daten!D23,"")</f>
        <v>202</v>
      </c>
      <c r="J24" s="50">
        <f t="shared" si="4"/>
        <v>0.56111111111111112</v>
      </c>
      <c r="K24" s="18"/>
      <c r="L24" s="4">
        <f t="shared" si="5"/>
        <v>4.499809670330265</v>
      </c>
      <c r="M24" s="9">
        <f t="shared" si="6"/>
        <v>-0.19418080237716071</v>
      </c>
      <c r="N24">
        <f t="shared" si="1"/>
        <v>20.248287069197769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8"/>
      <c r="AH24" s="17"/>
      <c r="AI24" s="13"/>
      <c r="AJ24" s="13"/>
      <c r="AK24" s="14"/>
      <c r="AL24" s="14"/>
      <c r="AM24" s="15"/>
      <c r="AN24" s="3"/>
      <c r="AO24" s="15"/>
    </row>
    <row r="25" spans="2:41" x14ac:dyDescent="0.2">
      <c r="B25" s="47">
        <f t="shared" si="0"/>
        <v>8</v>
      </c>
      <c r="C25" s="48">
        <f>IF(ISNUMBER(Daten!B24),Daten!B24,"")</f>
        <v>100</v>
      </c>
      <c r="D25" s="48">
        <f t="shared" si="2"/>
        <v>100</v>
      </c>
      <c r="E25" s="49">
        <f t="shared" si="7"/>
        <v>56</v>
      </c>
      <c r="F25" s="64"/>
      <c r="G25" s="49">
        <f t="shared" si="3"/>
        <v>102</v>
      </c>
      <c r="H25" s="67"/>
      <c r="I25" s="183">
        <f>IF(ISNUMBER(Daten!C24),Daten!D24,"")</f>
        <v>258</v>
      </c>
      <c r="J25" s="50">
        <f t="shared" si="4"/>
        <v>0.71666666666666667</v>
      </c>
      <c r="K25" s="18"/>
      <c r="L25" s="4">
        <f t="shared" si="5"/>
        <v>4.6051701859880918</v>
      </c>
      <c r="M25" s="9">
        <f t="shared" si="6"/>
        <v>0.23200911038417396</v>
      </c>
      <c r="N25">
        <f t="shared" si="1"/>
        <v>21.207592441913597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8"/>
      <c r="AH25" s="17"/>
      <c r="AI25" s="13"/>
      <c r="AJ25" s="13"/>
      <c r="AK25" s="14"/>
      <c r="AL25" s="14"/>
      <c r="AM25" s="15"/>
      <c r="AN25" s="3"/>
      <c r="AO25" s="15"/>
    </row>
    <row r="26" spans="2:41" x14ac:dyDescent="0.2">
      <c r="B26" s="47">
        <f t="shared" si="0"/>
        <v>9</v>
      </c>
      <c r="C26" s="48">
        <f>IF(ISNUMBER(Daten!B25),Daten!B25,"")</f>
        <v>110</v>
      </c>
      <c r="D26" s="48">
        <f t="shared" si="2"/>
        <v>110</v>
      </c>
      <c r="E26" s="49">
        <f t="shared" si="7"/>
        <v>46</v>
      </c>
      <c r="F26" s="64"/>
      <c r="G26" s="49">
        <f t="shared" si="3"/>
        <v>56</v>
      </c>
      <c r="H26" s="67"/>
      <c r="I26" s="183">
        <f>IF(ISNUMBER(Daten!C25),Daten!D25,"")</f>
        <v>304</v>
      </c>
      <c r="J26" s="50">
        <f t="shared" si="4"/>
        <v>0.84444444444444444</v>
      </c>
      <c r="K26" s="18"/>
      <c r="L26" s="4">
        <f t="shared" si="5"/>
        <v>4.7004803657924166</v>
      </c>
      <c r="M26" s="9">
        <f t="shared" si="6"/>
        <v>0.62098089019878544</v>
      </c>
      <c r="N26">
        <f t="shared" si="1"/>
        <v>22.09451566920001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8"/>
      <c r="AH26" s="17"/>
      <c r="AI26" s="13"/>
      <c r="AJ26" s="13"/>
      <c r="AK26" s="14"/>
      <c r="AL26" s="14"/>
      <c r="AM26" s="15"/>
      <c r="AN26" s="3"/>
      <c r="AO26" s="15"/>
    </row>
    <row r="27" spans="2:41" x14ac:dyDescent="0.2">
      <c r="B27" s="47">
        <f t="shared" si="0"/>
        <v>10</v>
      </c>
      <c r="C27" s="48">
        <f>IF(ISNUMBER(Daten!B26),Daten!B26,"")</f>
        <v>120</v>
      </c>
      <c r="D27" s="48">
        <f t="shared" si="2"/>
        <v>120</v>
      </c>
      <c r="E27" s="49">
        <f t="shared" si="7"/>
        <v>37</v>
      </c>
      <c r="F27" s="64"/>
      <c r="G27" s="49">
        <f t="shared" si="3"/>
        <v>19</v>
      </c>
      <c r="H27" s="67"/>
      <c r="I27" s="183">
        <f>IF(ISNUMBER(Daten!C26),Daten!D26,"")</f>
        <v>341</v>
      </c>
      <c r="J27" s="50">
        <f t="shared" si="4"/>
        <v>0.94722222222222219</v>
      </c>
      <c r="K27" s="18"/>
      <c r="L27" s="4">
        <f t="shared" si="5"/>
        <v>4.7874917427820458</v>
      </c>
      <c r="M27" s="9">
        <f t="shared" si="6"/>
        <v>1.0789757653523631</v>
      </c>
      <c r="N27">
        <f t="shared" si="1"/>
        <v>22.920077187206271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8"/>
      <c r="AH27" s="17"/>
      <c r="AI27" s="13"/>
      <c r="AJ27" s="13"/>
      <c r="AK27" s="14"/>
      <c r="AL27" s="14"/>
      <c r="AM27" s="15"/>
      <c r="AN27" s="3"/>
      <c r="AO27" s="15"/>
    </row>
    <row r="28" spans="2:41" x14ac:dyDescent="0.2">
      <c r="B28" s="47">
        <f t="shared" si="0"/>
        <v>11</v>
      </c>
      <c r="C28" s="48">
        <f>IF(ISNUMBER(Daten!B27),Daten!B27,"")</f>
        <v>130</v>
      </c>
      <c r="D28" s="48">
        <f t="shared" si="2"/>
        <v>130</v>
      </c>
      <c r="E28" s="49">
        <f t="shared" si="7"/>
        <v>13</v>
      </c>
      <c r="F28" s="64"/>
      <c r="G28" s="49">
        <f t="shared" si="3"/>
        <v>6</v>
      </c>
      <c r="H28" s="67"/>
      <c r="I28" s="183">
        <f>IF(ISNUMBER(Daten!C27),Daten!D27,"")</f>
        <v>354</v>
      </c>
      <c r="J28" s="50">
        <f t="shared" si="4"/>
        <v>0.98333333333333328</v>
      </c>
      <c r="K28" s="18"/>
      <c r="L28" s="4">
        <f t="shared" si="5"/>
        <v>4.8675344504555822</v>
      </c>
      <c r="M28" s="9">
        <f t="shared" si="6"/>
        <v>1.4096066464289518</v>
      </c>
      <c r="N28">
        <f t="shared" si="1"/>
        <v>23.692891626371928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8"/>
      <c r="AH28" s="17"/>
      <c r="AI28" s="13"/>
      <c r="AJ28" s="13"/>
      <c r="AK28" s="14"/>
      <c r="AL28" s="14"/>
      <c r="AM28" s="15"/>
      <c r="AN28" s="3"/>
      <c r="AO28" s="15"/>
    </row>
    <row r="29" spans="2:41" x14ac:dyDescent="0.2">
      <c r="B29" s="47">
        <f t="shared" si="0"/>
        <v>12</v>
      </c>
      <c r="C29" s="48">
        <f>IF(ISNUMBER(Daten!B28),Daten!B28,"")</f>
        <v>140</v>
      </c>
      <c r="D29" s="48">
        <f t="shared" si="2"/>
        <v>140</v>
      </c>
      <c r="E29" s="49">
        <f t="shared" si="7"/>
        <v>6</v>
      </c>
      <c r="F29" s="64"/>
      <c r="G29" s="49">
        <f t="shared" si="3"/>
        <v>0</v>
      </c>
      <c r="H29" s="67"/>
      <c r="I29" s="183">
        <f>IF(ISNUMBER(Daten!C28),Daten!D28,"")</f>
        <v>360</v>
      </c>
      <c r="J29" s="50">
        <f t="shared" si="4"/>
        <v>1</v>
      </c>
      <c r="K29" s="18"/>
      <c r="L29" s="4" t="str">
        <f t="shared" si="5"/>
        <v/>
      </c>
      <c r="M29" s="9" t="str">
        <f t="shared" si="6"/>
        <v/>
      </c>
      <c r="N29" t="str">
        <f t="shared" si="1"/>
        <v/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8"/>
      <c r="AH29" s="17"/>
      <c r="AI29" s="13"/>
      <c r="AJ29" s="13"/>
      <c r="AK29" s="14"/>
      <c r="AL29" s="14"/>
      <c r="AM29" s="15"/>
      <c r="AN29" s="3"/>
      <c r="AO29" s="15"/>
    </row>
    <row r="30" spans="2:41" x14ac:dyDescent="0.2">
      <c r="B30" s="47">
        <f t="shared" si="0"/>
        <v>13</v>
      </c>
      <c r="C30" s="48" t="str">
        <f>IF(ISNUMBER(Daten!B29),Daten!B29,"")</f>
        <v/>
      </c>
      <c r="D30" s="48" t="str">
        <f t="shared" si="2"/>
        <v/>
      </c>
      <c r="E30" s="49" t="str">
        <f t="shared" si="7"/>
        <v/>
      </c>
      <c r="F30" s="64"/>
      <c r="G30" s="49" t="str">
        <f t="shared" si="3"/>
        <v/>
      </c>
      <c r="H30" s="67"/>
      <c r="I30" s="183" t="str">
        <f>IF(ISNUMBER(Daten!C29),Daten!D29,"")</f>
        <v/>
      </c>
      <c r="J30" s="50" t="str">
        <f t="shared" si="4"/>
        <v/>
      </c>
      <c r="K30" s="18"/>
      <c r="L30" s="4" t="str">
        <f t="shared" si="5"/>
        <v xml:space="preserve"> </v>
      </c>
      <c r="M30" s="9" t="str">
        <f t="shared" si="6"/>
        <v/>
      </c>
      <c r="N30" t="str">
        <f t="shared" si="1"/>
        <v/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8"/>
      <c r="AH30" s="17"/>
      <c r="AI30" s="13"/>
      <c r="AJ30" s="13"/>
      <c r="AK30" s="14"/>
      <c r="AL30" s="14"/>
      <c r="AM30" s="15"/>
      <c r="AN30" s="3"/>
      <c r="AO30" s="15"/>
    </row>
    <row r="31" spans="2:41" x14ac:dyDescent="0.2">
      <c r="B31" s="47">
        <f t="shared" si="0"/>
        <v>14</v>
      </c>
      <c r="C31" s="48" t="str">
        <f>IF(ISNUMBER(Daten!B30),Daten!B30,"")</f>
        <v/>
      </c>
      <c r="D31" s="48" t="str">
        <f t="shared" si="2"/>
        <v/>
      </c>
      <c r="E31" s="49" t="str">
        <f t="shared" si="7"/>
        <v/>
      </c>
      <c r="F31" s="64"/>
      <c r="G31" s="49" t="str">
        <f t="shared" si="3"/>
        <v/>
      </c>
      <c r="H31" s="67"/>
      <c r="I31" s="183" t="str">
        <f>IF(ISNUMBER(Daten!C30),Daten!D30,"")</f>
        <v/>
      </c>
      <c r="J31" s="50" t="str">
        <f t="shared" si="4"/>
        <v/>
      </c>
      <c r="K31" s="18"/>
      <c r="L31" s="4" t="str">
        <f t="shared" si="5"/>
        <v xml:space="preserve"> </v>
      </c>
      <c r="M31" s="9" t="str">
        <f t="shared" si="6"/>
        <v/>
      </c>
      <c r="N31" t="str">
        <f t="shared" si="1"/>
        <v/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8"/>
      <c r="AH31" s="17"/>
      <c r="AI31" s="13"/>
      <c r="AJ31" s="13"/>
      <c r="AK31" s="14"/>
      <c r="AL31" s="14"/>
      <c r="AM31" s="15"/>
      <c r="AN31" s="3"/>
      <c r="AO31" s="15"/>
    </row>
    <row r="32" spans="2:41" x14ac:dyDescent="0.2">
      <c r="B32" s="47">
        <f t="shared" si="0"/>
        <v>15</v>
      </c>
      <c r="C32" s="48" t="str">
        <f>IF(ISNUMBER(Daten!B31),Daten!B31,"")</f>
        <v/>
      </c>
      <c r="D32" s="48" t="str">
        <f t="shared" si="2"/>
        <v/>
      </c>
      <c r="E32" s="49" t="str">
        <f t="shared" si="7"/>
        <v/>
      </c>
      <c r="F32" s="64"/>
      <c r="G32" s="49" t="str">
        <f t="shared" si="3"/>
        <v/>
      </c>
      <c r="H32" s="67"/>
      <c r="I32" s="183" t="str">
        <f>IF(ISNUMBER(Daten!C31),Daten!D31,"")</f>
        <v/>
      </c>
      <c r="J32" s="50" t="str">
        <f t="shared" si="4"/>
        <v/>
      </c>
      <c r="K32" s="18"/>
      <c r="L32" s="4" t="str">
        <f t="shared" si="5"/>
        <v xml:space="preserve"> </v>
      </c>
      <c r="M32" s="9" t="str">
        <f t="shared" si="6"/>
        <v/>
      </c>
      <c r="N32" t="str">
        <f t="shared" si="1"/>
        <v/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8"/>
      <c r="AH32" s="17"/>
      <c r="AI32" s="13"/>
      <c r="AJ32" s="13"/>
      <c r="AK32" s="14"/>
      <c r="AL32" s="14"/>
      <c r="AM32" s="15"/>
      <c r="AN32" s="3"/>
      <c r="AO32" s="15"/>
    </row>
    <row r="33" spans="2:41" x14ac:dyDescent="0.2">
      <c r="B33" s="47">
        <f t="shared" si="0"/>
        <v>16</v>
      </c>
      <c r="C33" s="48" t="str">
        <f>IF(ISNUMBER(Daten!B32),Daten!B32,"")</f>
        <v/>
      </c>
      <c r="D33" s="48" t="str">
        <f t="shared" si="2"/>
        <v/>
      </c>
      <c r="E33" s="49" t="str">
        <f t="shared" si="7"/>
        <v/>
      </c>
      <c r="F33" s="64"/>
      <c r="G33" s="49" t="str">
        <f t="shared" si="3"/>
        <v/>
      </c>
      <c r="H33" s="67"/>
      <c r="I33" s="183" t="str">
        <f>IF(ISNUMBER(Daten!C32),Daten!D32,"")</f>
        <v/>
      </c>
      <c r="J33" s="50" t="str">
        <f t="shared" si="4"/>
        <v/>
      </c>
      <c r="K33" s="18"/>
      <c r="L33" s="4" t="str">
        <f t="shared" si="5"/>
        <v xml:space="preserve"> </v>
      </c>
      <c r="M33" s="9" t="str">
        <f t="shared" si="6"/>
        <v/>
      </c>
      <c r="N33" t="str">
        <f t="shared" si="1"/>
        <v/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8"/>
      <c r="AH33" s="17"/>
      <c r="AI33" s="13"/>
      <c r="AJ33" s="13"/>
      <c r="AK33" s="14"/>
      <c r="AL33" s="14"/>
      <c r="AM33" s="15"/>
      <c r="AN33" s="3"/>
      <c r="AO33" s="15"/>
    </row>
    <row r="34" spans="2:41" x14ac:dyDescent="0.2">
      <c r="B34" s="47">
        <f t="shared" si="0"/>
        <v>17</v>
      </c>
      <c r="C34" s="48" t="str">
        <f>IF(ISNUMBER(Daten!B33),Daten!B33,"")</f>
        <v/>
      </c>
      <c r="D34" s="48" t="str">
        <f t="shared" si="2"/>
        <v/>
      </c>
      <c r="E34" s="49" t="str">
        <f t="shared" si="7"/>
        <v/>
      </c>
      <c r="F34" s="64"/>
      <c r="G34" s="49" t="str">
        <f t="shared" si="3"/>
        <v/>
      </c>
      <c r="H34" s="67"/>
      <c r="I34" s="183" t="str">
        <f>IF(ISNUMBER(Daten!C33),Daten!D33,"")</f>
        <v/>
      </c>
      <c r="J34" s="50" t="str">
        <f t="shared" si="4"/>
        <v/>
      </c>
      <c r="K34" s="18"/>
      <c r="L34" s="4" t="str">
        <f t="shared" si="5"/>
        <v xml:space="preserve"> </v>
      </c>
      <c r="M34" s="9" t="str">
        <f t="shared" si="6"/>
        <v/>
      </c>
      <c r="N34" t="str">
        <f t="shared" si="1"/>
        <v/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8"/>
      <c r="AH34" s="17"/>
      <c r="AI34" s="13"/>
      <c r="AJ34" s="13"/>
      <c r="AK34" s="14"/>
      <c r="AL34" s="14"/>
      <c r="AM34" s="15"/>
      <c r="AN34" s="3"/>
      <c r="AO34" s="15"/>
    </row>
    <row r="35" spans="2:41" x14ac:dyDescent="0.2">
      <c r="B35" s="47">
        <f t="shared" si="0"/>
        <v>18</v>
      </c>
      <c r="C35" s="48" t="str">
        <f>IF(ISNUMBER(Daten!B34),Daten!B34,"")</f>
        <v/>
      </c>
      <c r="D35" s="48" t="str">
        <f t="shared" si="2"/>
        <v/>
      </c>
      <c r="E35" s="49" t="str">
        <f t="shared" si="7"/>
        <v/>
      </c>
      <c r="F35" s="64"/>
      <c r="G35" s="49" t="str">
        <f t="shared" si="3"/>
        <v/>
      </c>
      <c r="H35" s="67"/>
      <c r="I35" s="183" t="str">
        <f>IF(ISNUMBER(Daten!C34),Daten!D34,"")</f>
        <v/>
      </c>
      <c r="J35" s="50" t="str">
        <f t="shared" si="4"/>
        <v/>
      </c>
      <c r="K35" s="18"/>
      <c r="L35" s="4" t="str">
        <f t="shared" si="5"/>
        <v xml:space="preserve"> </v>
      </c>
      <c r="M35" s="9" t="str">
        <f t="shared" si="6"/>
        <v/>
      </c>
      <c r="N35" t="str">
        <f t="shared" si="1"/>
        <v/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8"/>
      <c r="AH35" s="17"/>
      <c r="AI35" s="13"/>
      <c r="AJ35" s="13"/>
      <c r="AK35" s="14"/>
      <c r="AL35" s="14"/>
      <c r="AM35" s="15"/>
      <c r="AN35" s="3"/>
      <c r="AO35" s="15"/>
    </row>
    <row r="36" spans="2:41" x14ac:dyDescent="0.2">
      <c r="B36" s="47">
        <f t="shared" si="0"/>
        <v>19</v>
      </c>
      <c r="C36" s="48" t="str">
        <f>IF(ISNUMBER(Daten!B35),Daten!B35,"")</f>
        <v/>
      </c>
      <c r="D36" s="48" t="str">
        <f t="shared" si="2"/>
        <v/>
      </c>
      <c r="E36" s="49" t="str">
        <f t="shared" si="7"/>
        <v/>
      </c>
      <c r="F36" s="64"/>
      <c r="G36" s="49" t="str">
        <f t="shared" si="3"/>
        <v/>
      </c>
      <c r="H36" s="67"/>
      <c r="I36" s="183" t="str">
        <f>IF(ISNUMBER(Daten!C35),Daten!D35,"")</f>
        <v/>
      </c>
      <c r="J36" s="50" t="str">
        <f t="shared" si="4"/>
        <v/>
      </c>
      <c r="K36" s="18"/>
      <c r="L36" s="4" t="str">
        <f t="shared" si="5"/>
        <v xml:space="preserve"> </v>
      </c>
      <c r="M36" s="9" t="str">
        <f t="shared" si="6"/>
        <v/>
      </c>
      <c r="N36" t="str">
        <f t="shared" si="1"/>
        <v/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8"/>
      <c r="AH36" s="17"/>
      <c r="AI36" s="13"/>
      <c r="AJ36" s="13"/>
      <c r="AK36" s="14"/>
      <c r="AL36" s="14"/>
      <c r="AM36" s="15"/>
      <c r="AN36" s="3"/>
      <c r="AO36" s="15"/>
    </row>
    <row r="37" spans="2:41" x14ac:dyDescent="0.2">
      <c r="B37" s="47">
        <f t="shared" si="0"/>
        <v>20</v>
      </c>
      <c r="C37" s="48" t="str">
        <f>IF(ISNUMBER(Daten!B36),Daten!B36,"")</f>
        <v/>
      </c>
      <c r="D37" s="48" t="str">
        <f t="shared" si="2"/>
        <v/>
      </c>
      <c r="E37" s="49" t="str">
        <f t="shared" si="7"/>
        <v/>
      </c>
      <c r="F37" s="64"/>
      <c r="G37" s="49" t="str">
        <f t="shared" si="3"/>
        <v/>
      </c>
      <c r="H37" s="67"/>
      <c r="I37" s="183" t="str">
        <f>IF(ISNUMBER(Daten!C36),Daten!D36,"")</f>
        <v/>
      </c>
      <c r="J37" s="50" t="str">
        <f t="shared" si="4"/>
        <v/>
      </c>
      <c r="K37" s="18"/>
      <c r="L37" s="4" t="str">
        <f t="shared" si="5"/>
        <v xml:space="preserve"> </v>
      </c>
      <c r="M37" s="9" t="str">
        <f t="shared" si="6"/>
        <v/>
      </c>
      <c r="N37" t="str">
        <f t="shared" si="1"/>
        <v/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8"/>
      <c r="AH37" s="17"/>
      <c r="AI37" s="13"/>
      <c r="AJ37" s="13"/>
      <c r="AK37" s="14"/>
      <c r="AL37" s="14"/>
      <c r="AM37" s="15"/>
      <c r="AN37" s="3"/>
      <c r="AO37" s="15"/>
    </row>
    <row r="38" spans="2:41" x14ac:dyDescent="0.2">
      <c r="B38" s="47">
        <f t="shared" si="0"/>
        <v>21</v>
      </c>
      <c r="C38" s="48" t="str">
        <f>IF(ISNUMBER(Daten!B37),Daten!B37,"")</f>
        <v/>
      </c>
      <c r="D38" s="48" t="str">
        <f t="shared" si="2"/>
        <v/>
      </c>
      <c r="E38" s="49" t="str">
        <f t="shared" si="7"/>
        <v/>
      </c>
      <c r="F38" s="64"/>
      <c r="G38" s="49" t="str">
        <f t="shared" si="3"/>
        <v/>
      </c>
      <c r="H38" s="67"/>
      <c r="I38" s="183" t="str">
        <f>IF(ISNUMBER(Daten!C37),Daten!D37,"")</f>
        <v/>
      </c>
      <c r="J38" s="50" t="str">
        <f t="shared" si="4"/>
        <v/>
      </c>
      <c r="K38" s="18"/>
      <c r="L38" s="4" t="str">
        <f t="shared" si="5"/>
        <v xml:space="preserve"> </v>
      </c>
      <c r="M38" s="9" t="str">
        <f t="shared" si="6"/>
        <v/>
      </c>
      <c r="N38" t="str">
        <f t="shared" si="1"/>
        <v/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8"/>
      <c r="AH38" s="17"/>
      <c r="AI38" s="13"/>
      <c r="AJ38" s="13"/>
      <c r="AK38" s="14"/>
      <c r="AL38" s="14"/>
      <c r="AM38" s="15"/>
      <c r="AN38" s="3"/>
      <c r="AO38" s="15"/>
    </row>
    <row r="39" spans="2:41" x14ac:dyDescent="0.2">
      <c r="B39" s="47">
        <f t="shared" si="0"/>
        <v>22</v>
      </c>
      <c r="C39" s="48" t="str">
        <f>IF(ISNUMBER(Daten!B38),Daten!B38,"")</f>
        <v/>
      </c>
      <c r="D39" s="48" t="str">
        <f t="shared" si="2"/>
        <v/>
      </c>
      <c r="E39" s="49" t="str">
        <f t="shared" si="7"/>
        <v/>
      </c>
      <c r="F39" s="64"/>
      <c r="G39" s="49" t="str">
        <f t="shared" si="3"/>
        <v/>
      </c>
      <c r="H39" s="67"/>
      <c r="I39" s="183" t="str">
        <f>IF(ISNUMBER(Daten!C38),Daten!D38,"")</f>
        <v/>
      </c>
      <c r="J39" s="50" t="str">
        <f t="shared" si="4"/>
        <v/>
      </c>
      <c r="K39" s="18"/>
      <c r="L39" s="4" t="str">
        <f t="shared" si="5"/>
        <v xml:space="preserve"> </v>
      </c>
      <c r="M39" s="9" t="str">
        <f t="shared" si="6"/>
        <v/>
      </c>
      <c r="N39" t="str">
        <f t="shared" si="1"/>
        <v/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8"/>
      <c r="AH39" s="17"/>
      <c r="AI39" s="13"/>
      <c r="AJ39" s="13"/>
      <c r="AK39" s="14"/>
      <c r="AL39" s="14"/>
      <c r="AM39" s="15"/>
      <c r="AN39" s="3"/>
      <c r="AO39" s="15"/>
    </row>
    <row r="40" spans="2:41" x14ac:dyDescent="0.2">
      <c r="B40" s="47">
        <f t="shared" si="0"/>
        <v>23</v>
      </c>
      <c r="C40" s="48" t="str">
        <f>IF(ISNUMBER(Daten!B39),Daten!B39,"")</f>
        <v/>
      </c>
      <c r="D40" s="48" t="str">
        <f t="shared" si="2"/>
        <v/>
      </c>
      <c r="E40" s="49" t="str">
        <f t="shared" si="7"/>
        <v/>
      </c>
      <c r="F40" s="64"/>
      <c r="G40" s="49" t="str">
        <f t="shared" si="3"/>
        <v/>
      </c>
      <c r="H40" s="67"/>
      <c r="I40" s="183" t="str">
        <f>IF(ISNUMBER(Daten!C39),Daten!D39,"")</f>
        <v/>
      </c>
      <c r="J40" s="50" t="str">
        <f t="shared" si="4"/>
        <v/>
      </c>
      <c r="K40" s="18"/>
      <c r="L40" s="4" t="str">
        <f t="shared" si="5"/>
        <v xml:space="preserve"> </v>
      </c>
      <c r="M40" s="9" t="str">
        <f t="shared" si="6"/>
        <v/>
      </c>
      <c r="N40" t="str">
        <f t="shared" si="1"/>
        <v/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8"/>
      <c r="AH40" s="17"/>
      <c r="AI40" s="13"/>
      <c r="AJ40" s="13"/>
      <c r="AK40" s="14"/>
      <c r="AL40" s="14"/>
      <c r="AM40" s="15"/>
      <c r="AN40" s="3"/>
      <c r="AO40" s="15"/>
    </row>
    <row r="41" spans="2:41" x14ac:dyDescent="0.2">
      <c r="B41" s="47">
        <f t="shared" si="0"/>
        <v>24</v>
      </c>
      <c r="C41" s="48" t="str">
        <f>IF(ISNUMBER(Daten!B40),Daten!B40,"")</f>
        <v/>
      </c>
      <c r="D41" s="48" t="str">
        <f t="shared" si="2"/>
        <v/>
      </c>
      <c r="E41" s="49" t="str">
        <f t="shared" si="7"/>
        <v/>
      </c>
      <c r="F41" s="64"/>
      <c r="G41" s="49" t="str">
        <f t="shared" si="3"/>
        <v/>
      </c>
      <c r="H41" s="67"/>
      <c r="I41" s="183" t="str">
        <f>IF(ISNUMBER(Daten!C40),Daten!D40,"")</f>
        <v/>
      </c>
      <c r="J41" s="50" t="str">
        <f t="shared" si="4"/>
        <v/>
      </c>
      <c r="K41" s="18"/>
      <c r="L41" s="4" t="str">
        <f t="shared" si="5"/>
        <v xml:space="preserve"> </v>
      </c>
      <c r="M41" s="9" t="str">
        <f t="shared" si="6"/>
        <v/>
      </c>
      <c r="N41" t="str">
        <f t="shared" si="1"/>
        <v/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8"/>
      <c r="AH41" s="17"/>
      <c r="AI41" s="13"/>
      <c r="AJ41" s="13"/>
      <c r="AK41" s="14"/>
      <c r="AL41" s="14"/>
      <c r="AM41" s="15"/>
      <c r="AN41" s="3"/>
      <c r="AO41" s="15"/>
    </row>
    <row r="42" spans="2:41" x14ac:dyDescent="0.2">
      <c r="B42" s="47">
        <f t="shared" si="0"/>
        <v>25</v>
      </c>
      <c r="C42" s="48" t="str">
        <f>IF(ISNUMBER(Daten!B41),Daten!B41,"")</f>
        <v/>
      </c>
      <c r="D42" s="48" t="str">
        <f t="shared" si="2"/>
        <v/>
      </c>
      <c r="E42" s="49" t="str">
        <f t="shared" si="7"/>
        <v/>
      </c>
      <c r="F42" s="64"/>
      <c r="G42" s="49" t="str">
        <f t="shared" si="3"/>
        <v/>
      </c>
      <c r="H42" s="67"/>
      <c r="I42" s="183" t="str">
        <f>IF(ISNUMBER(Daten!C41),Daten!D41,"")</f>
        <v/>
      </c>
      <c r="J42" s="50" t="str">
        <f t="shared" si="4"/>
        <v/>
      </c>
      <c r="K42" s="18"/>
      <c r="L42" s="4" t="str">
        <f t="shared" si="5"/>
        <v xml:space="preserve"> </v>
      </c>
      <c r="M42" s="9" t="str">
        <f t="shared" si="6"/>
        <v/>
      </c>
      <c r="N42" t="str">
        <f t="shared" si="1"/>
        <v/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8"/>
      <c r="AH42" s="17"/>
      <c r="AI42" s="13"/>
      <c r="AJ42" s="13"/>
      <c r="AK42" s="14"/>
      <c r="AL42" s="14"/>
      <c r="AM42" s="15"/>
      <c r="AN42" s="3"/>
      <c r="AO42" s="15"/>
    </row>
    <row r="43" spans="2:41" x14ac:dyDescent="0.2">
      <c r="B43" s="47">
        <f t="shared" si="0"/>
        <v>26</v>
      </c>
      <c r="C43" s="48" t="str">
        <f>IF(ISNUMBER(Daten!B42),Daten!B42,"")</f>
        <v/>
      </c>
      <c r="D43" s="48" t="str">
        <f t="shared" si="2"/>
        <v/>
      </c>
      <c r="E43" s="49" t="str">
        <f t="shared" si="7"/>
        <v/>
      </c>
      <c r="F43" s="64"/>
      <c r="G43" s="49" t="str">
        <f t="shared" si="3"/>
        <v/>
      </c>
      <c r="H43" s="67"/>
      <c r="I43" s="183" t="str">
        <f>IF(ISNUMBER(Daten!C42),Daten!D42,"")</f>
        <v/>
      </c>
      <c r="J43" s="50" t="str">
        <f t="shared" si="4"/>
        <v/>
      </c>
      <c r="K43" s="18"/>
      <c r="L43" s="4" t="str">
        <f t="shared" si="5"/>
        <v xml:space="preserve"> </v>
      </c>
      <c r="M43" s="9" t="str">
        <f t="shared" si="6"/>
        <v/>
      </c>
      <c r="N43" t="str">
        <f t="shared" si="1"/>
        <v/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8"/>
      <c r="AH43" s="17"/>
      <c r="AI43" s="13"/>
      <c r="AJ43" s="13"/>
      <c r="AK43" s="14"/>
      <c r="AL43" s="14"/>
      <c r="AM43" s="15"/>
      <c r="AN43" s="3"/>
      <c r="AO43" s="15"/>
    </row>
    <row r="44" spans="2:41" x14ac:dyDescent="0.2">
      <c r="B44" s="47">
        <f t="shared" si="0"/>
        <v>27</v>
      </c>
      <c r="C44" s="48" t="str">
        <f>IF(ISNUMBER(Daten!B43),Daten!B43,"")</f>
        <v/>
      </c>
      <c r="D44" s="48" t="str">
        <f t="shared" si="2"/>
        <v/>
      </c>
      <c r="E44" s="49" t="str">
        <f t="shared" si="7"/>
        <v/>
      </c>
      <c r="F44" s="64"/>
      <c r="G44" s="49" t="str">
        <f t="shared" si="3"/>
        <v/>
      </c>
      <c r="H44" s="67"/>
      <c r="I44" s="183" t="str">
        <f>IF(ISNUMBER(Daten!C43),Daten!D43,"")</f>
        <v/>
      </c>
      <c r="J44" s="50" t="str">
        <f t="shared" si="4"/>
        <v/>
      </c>
      <c r="K44" s="18"/>
      <c r="L44" s="4" t="str">
        <f t="shared" si="5"/>
        <v xml:space="preserve"> </v>
      </c>
      <c r="M44" s="9" t="str">
        <f t="shared" si="6"/>
        <v/>
      </c>
      <c r="N44" t="str">
        <f t="shared" si="1"/>
        <v/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8"/>
      <c r="AH44" s="17"/>
      <c r="AI44" s="13"/>
      <c r="AJ44" s="13"/>
      <c r="AK44" s="14"/>
      <c r="AL44" s="14"/>
      <c r="AM44" s="15"/>
      <c r="AN44" s="3"/>
      <c r="AO44" s="15"/>
    </row>
    <row r="45" spans="2:41" x14ac:dyDescent="0.2">
      <c r="B45" s="47">
        <f t="shared" si="0"/>
        <v>28</v>
      </c>
      <c r="C45" s="48" t="str">
        <f>IF(ISNUMBER(Daten!B44),Daten!B44,"")</f>
        <v/>
      </c>
      <c r="D45" s="48" t="str">
        <f t="shared" si="2"/>
        <v/>
      </c>
      <c r="E45" s="49" t="str">
        <f t="shared" si="7"/>
        <v/>
      </c>
      <c r="F45" s="64"/>
      <c r="G45" s="49" t="str">
        <f t="shared" si="3"/>
        <v/>
      </c>
      <c r="H45" s="67"/>
      <c r="I45" s="183" t="str">
        <f>IF(ISNUMBER(Daten!C44),Daten!D44,"")</f>
        <v/>
      </c>
      <c r="J45" s="50" t="str">
        <f t="shared" si="4"/>
        <v/>
      </c>
      <c r="K45" s="18"/>
      <c r="L45" s="4" t="str">
        <f t="shared" si="5"/>
        <v xml:space="preserve"> </v>
      </c>
      <c r="M45" s="9" t="str">
        <f t="shared" si="6"/>
        <v/>
      </c>
      <c r="N45" t="str">
        <f t="shared" si="1"/>
        <v/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8"/>
      <c r="AH45" s="17"/>
      <c r="AI45" s="13"/>
      <c r="AJ45" s="13"/>
      <c r="AK45" s="14"/>
      <c r="AL45" s="14"/>
      <c r="AM45" s="15"/>
      <c r="AN45" s="3"/>
      <c r="AO45" s="15"/>
    </row>
    <row r="46" spans="2:41" x14ac:dyDescent="0.2">
      <c r="B46" s="47">
        <f t="shared" si="0"/>
        <v>29</v>
      </c>
      <c r="C46" s="48" t="str">
        <f>IF(ISNUMBER(Daten!B45),Daten!B45,"")</f>
        <v/>
      </c>
      <c r="D46" s="48" t="str">
        <f t="shared" si="2"/>
        <v/>
      </c>
      <c r="E46" s="49" t="str">
        <f t="shared" si="7"/>
        <v/>
      </c>
      <c r="F46" s="64"/>
      <c r="G46" s="49" t="str">
        <f t="shared" si="3"/>
        <v/>
      </c>
      <c r="H46" s="67"/>
      <c r="I46" s="183" t="str">
        <f>IF(ISNUMBER(Daten!C45),Daten!D45,"")</f>
        <v/>
      </c>
      <c r="J46" s="50" t="str">
        <f t="shared" si="4"/>
        <v/>
      </c>
      <c r="K46" s="18"/>
      <c r="L46" s="4" t="str">
        <f t="shared" si="5"/>
        <v xml:space="preserve"> </v>
      </c>
      <c r="M46" s="9" t="str">
        <f t="shared" si="6"/>
        <v/>
      </c>
      <c r="N46" t="str">
        <f t="shared" si="1"/>
        <v/>
      </c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8"/>
      <c r="AH46" s="17"/>
      <c r="AI46" s="13"/>
      <c r="AJ46" s="13"/>
      <c r="AK46" s="14"/>
      <c r="AL46" s="14"/>
      <c r="AM46" s="15"/>
      <c r="AN46" s="3"/>
      <c r="AO46" s="15"/>
    </row>
    <row r="47" spans="2:41" x14ac:dyDescent="0.2">
      <c r="B47" s="47">
        <f t="shared" si="0"/>
        <v>30</v>
      </c>
      <c r="C47" s="48" t="str">
        <f>IF(ISNUMBER(Daten!B46),Daten!B46,"")</f>
        <v/>
      </c>
      <c r="D47" s="48" t="str">
        <f t="shared" si="2"/>
        <v/>
      </c>
      <c r="E47" s="49" t="str">
        <f t="shared" si="7"/>
        <v/>
      </c>
      <c r="F47" s="64"/>
      <c r="G47" s="49" t="str">
        <f t="shared" si="3"/>
        <v/>
      </c>
      <c r="H47" s="67"/>
      <c r="I47" s="183" t="str">
        <f>IF(ISNUMBER(Daten!C46),Daten!D46,"")</f>
        <v/>
      </c>
      <c r="J47" s="50" t="str">
        <f t="shared" si="4"/>
        <v/>
      </c>
      <c r="K47" s="18"/>
      <c r="L47" s="4" t="str">
        <f t="shared" si="5"/>
        <v xml:space="preserve"> </v>
      </c>
      <c r="M47" s="9" t="str">
        <f t="shared" si="6"/>
        <v/>
      </c>
      <c r="N47" t="str">
        <f t="shared" si="1"/>
        <v/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8"/>
      <c r="AH47" s="17"/>
      <c r="AI47" s="13"/>
      <c r="AJ47" s="13"/>
      <c r="AK47" s="14"/>
      <c r="AL47" s="14"/>
      <c r="AM47" s="15"/>
      <c r="AN47" s="3"/>
      <c r="AO47" s="15"/>
    </row>
    <row r="48" spans="2:41" x14ac:dyDescent="0.2">
      <c r="B48" s="47">
        <f t="shared" si="0"/>
        <v>31</v>
      </c>
      <c r="C48" s="48" t="str">
        <f>IF(ISNUMBER(Daten!B47),Daten!B47,"")</f>
        <v/>
      </c>
      <c r="D48" s="48" t="str">
        <f t="shared" si="2"/>
        <v/>
      </c>
      <c r="E48" s="49" t="str">
        <f t="shared" si="7"/>
        <v/>
      </c>
      <c r="F48" s="64"/>
      <c r="G48" s="49" t="str">
        <f t="shared" si="3"/>
        <v/>
      </c>
      <c r="H48" s="67"/>
      <c r="I48" s="183" t="str">
        <f>IF(ISNUMBER(Daten!C47),Daten!D47,"")</f>
        <v/>
      </c>
      <c r="J48" s="50" t="str">
        <f t="shared" si="4"/>
        <v/>
      </c>
      <c r="K48" s="18"/>
      <c r="L48" s="4" t="str">
        <f t="shared" si="5"/>
        <v xml:space="preserve"> </v>
      </c>
      <c r="M48" s="9" t="str">
        <f t="shared" si="6"/>
        <v/>
      </c>
      <c r="N48" t="str">
        <f t="shared" si="1"/>
        <v/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8"/>
      <c r="AH48" s="17"/>
      <c r="AI48" s="13"/>
      <c r="AJ48" s="13"/>
      <c r="AK48" s="14"/>
      <c r="AL48" s="14"/>
      <c r="AM48" s="15"/>
      <c r="AN48" s="3"/>
      <c r="AO48" s="15"/>
    </row>
    <row r="49" spans="2:41" x14ac:dyDescent="0.2">
      <c r="B49" s="47">
        <f t="shared" si="0"/>
        <v>32</v>
      </c>
      <c r="C49" s="48" t="str">
        <f>IF(ISNUMBER(Daten!B48),Daten!B48,"")</f>
        <v/>
      </c>
      <c r="D49" s="48" t="str">
        <f t="shared" si="2"/>
        <v/>
      </c>
      <c r="E49" s="49" t="str">
        <f t="shared" si="7"/>
        <v/>
      </c>
      <c r="F49" s="64"/>
      <c r="G49" s="49" t="str">
        <f t="shared" si="3"/>
        <v/>
      </c>
      <c r="H49" s="67"/>
      <c r="I49" s="183" t="str">
        <f>IF(ISNUMBER(Daten!C48),Daten!D48,"")</f>
        <v/>
      </c>
      <c r="J49" s="50" t="str">
        <f t="shared" si="4"/>
        <v/>
      </c>
      <c r="K49" s="18"/>
      <c r="L49" s="4" t="str">
        <f t="shared" si="5"/>
        <v xml:space="preserve"> </v>
      </c>
      <c r="M49" s="9" t="str">
        <f t="shared" si="6"/>
        <v/>
      </c>
      <c r="N49" t="str">
        <f t="shared" si="1"/>
        <v/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8"/>
      <c r="AH49" s="17"/>
      <c r="AI49" s="13"/>
      <c r="AJ49" s="13"/>
      <c r="AK49" s="14"/>
      <c r="AL49" s="14"/>
      <c r="AM49" s="15"/>
      <c r="AN49" s="3"/>
      <c r="AO49" s="15"/>
    </row>
    <row r="50" spans="2:41" x14ac:dyDescent="0.2">
      <c r="B50" s="47">
        <f t="shared" ref="B50:B81" si="8">B49+1</f>
        <v>33</v>
      </c>
      <c r="C50" s="48" t="str">
        <f>IF(ISNUMBER(Daten!B49),Daten!B49,"")</f>
        <v/>
      </c>
      <c r="D50" s="48" t="str">
        <f t="shared" si="2"/>
        <v/>
      </c>
      <c r="E50" s="49" t="str">
        <f t="shared" si="7"/>
        <v/>
      </c>
      <c r="F50" s="64"/>
      <c r="G50" s="49" t="str">
        <f t="shared" si="3"/>
        <v/>
      </c>
      <c r="H50" s="67"/>
      <c r="I50" s="183" t="str">
        <f>IF(ISNUMBER(Daten!C49),Daten!D49,"")</f>
        <v/>
      </c>
      <c r="J50" s="50" t="str">
        <f t="shared" si="4"/>
        <v/>
      </c>
      <c r="K50" s="18"/>
      <c r="L50" s="4" t="str">
        <f t="shared" si="5"/>
        <v xml:space="preserve"> </v>
      </c>
      <c r="M50" s="9" t="str">
        <f t="shared" si="6"/>
        <v/>
      </c>
      <c r="N50" t="str">
        <f t="shared" ref="N50:N81" si="9">IF(ISNUMBER(L50),L50^2,"")</f>
        <v/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8"/>
      <c r="AH50" s="17"/>
      <c r="AI50" s="13"/>
      <c r="AJ50" s="13"/>
      <c r="AK50" s="14"/>
      <c r="AL50" s="14"/>
      <c r="AM50" s="15"/>
      <c r="AN50" s="3"/>
      <c r="AO50" s="15"/>
    </row>
    <row r="51" spans="2:41" x14ac:dyDescent="0.2">
      <c r="B51" s="47">
        <f t="shared" si="8"/>
        <v>34</v>
      </c>
      <c r="C51" s="48" t="str">
        <f>IF(ISNUMBER(Daten!B50),Daten!B50,"")</f>
        <v/>
      </c>
      <c r="D51" s="48" t="str">
        <f t="shared" si="2"/>
        <v/>
      </c>
      <c r="E51" s="49" t="str">
        <f t="shared" si="7"/>
        <v/>
      </c>
      <c r="F51" s="64"/>
      <c r="G51" s="49" t="str">
        <f t="shared" si="3"/>
        <v/>
      </c>
      <c r="H51" s="67"/>
      <c r="I51" s="183" t="str">
        <f>IF(ISNUMBER(Daten!C50),Daten!D50,"")</f>
        <v/>
      </c>
      <c r="J51" s="50" t="str">
        <f t="shared" si="4"/>
        <v/>
      </c>
      <c r="K51" s="18"/>
      <c r="L51" s="4" t="str">
        <f t="shared" si="5"/>
        <v xml:space="preserve"> </v>
      </c>
      <c r="M51" s="9" t="str">
        <f t="shared" si="6"/>
        <v/>
      </c>
      <c r="N51" t="str">
        <f t="shared" si="9"/>
        <v/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8"/>
      <c r="AH51" s="17"/>
      <c r="AI51" s="13"/>
      <c r="AJ51" s="13"/>
      <c r="AK51" s="14"/>
      <c r="AL51" s="14"/>
      <c r="AM51" s="15"/>
      <c r="AN51" s="3"/>
      <c r="AO51" s="15"/>
    </row>
    <row r="52" spans="2:41" x14ac:dyDescent="0.2">
      <c r="B52" s="47">
        <f t="shared" si="8"/>
        <v>35</v>
      </c>
      <c r="C52" s="48" t="str">
        <f>IF(ISNUMBER(Daten!B51),Daten!B51,"")</f>
        <v/>
      </c>
      <c r="D52" s="48" t="str">
        <f t="shared" si="2"/>
        <v/>
      </c>
      <c r="E52" s="49" t="str">
        <f t="shared" si="7"/>
        <v/>
      </c>
      <c r="F52" s="64"/>
      <c r="G52" s="49" t="str">
        <f t="shared" si="3"/>
        <v/>
      </c>
      <c r="H52" s="67"/>
      <c r="I52" s="183" t="str">
        <f>IF(ISNUMBER(Daten!C51),Daten!D51,"")</f>
        <v/>
      </c>
      <c r="J52" s="50" t="str">
        <f t="shared" si="4"/>
        <v/>
      </c>
      <c r="K52" s="18"/>
      <c r="L52" s="4" t="str">
        <f t="shared" si="5"/>
        <v xml:space="preserve"> </v>
      </c>
      <c r="M52" s="9" t="str">
        <f t="shared" si="6"/>
        <v/>
      </c>
      <c r="N52" t="str">
        <f t="shared" si="9"/>
        <v/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8"/>
      <c r="AH52" s="17"/>
      <c r="AI52" s="13"/>
      <c r="AJ52" s="13"/>
      <c r="AK52" s="14"/>
      <c r="AL52" s="14"/>
      <c r="AM52" s="15"/>
      <c r="AN52" s="3"/>
      <c r="AO52" s="15"/>
    </row>
    <row r="53" spans="2:41" x14ac:dyDescent="0.2">
      <c r="B53" s="47">
        <f t="shared" si="8"/>
        <v>36</v>
      </c>
      <c r="C53" s="48" t="str">
        <f>IF(ISNUMBER(Daten!B52),Daten!B52,"")</f>
        <v/>
      </c>
      <c r="D53" s="48" t="str">
        <f t="shared" ref="D53:D84" si="10">IF(ISNUMBER(C53),C53-D$17,"")</f>
        <v/>
      </c>
      <c r="E53" s="49" t="str">
        <f t="shared" si="7"/>
        <v/>
      </c>
      <c r="F53" s="64"/>
      <c r="G53" s="49" t="str">
        <f t="shared" si="3"/>
        <v/>
      </c>
      <c r="H53" s="67"/>
      <c r="I53" s="183" t="str">
        <f>IF(ISNUMBER(Daten!C52),Daten!D52,"")</f>
        <v/>
      </c>
      <c r="J53" s="50" t="str">
        <f t="shared" si="4"/>
        <v/>
      </c>
      <c r="K53" s="18"/>
      <c r="L53" s="4" t="str">
        <f t="shared" si="5"/>
        <v xml:space="preserve"> </v>
      </c>
      <c r="M53" s="9" t="str">
        <f t="shared" si="6"/>
        <v/>
      </c>
      <c r="N53" t="str">
        <f t="shared" si="9"/>
        <v/>
      </c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8"/>
      <c r="AH53" s="17"/>
      <c r="AI53" s="13"/>
      <c r="AJ53" s="13"/>
      <c r="AK53" s="14"/>
      <c r="AL53" s="14"/>
      <c r="AM53" s="15"/>
      <c r="AN53" s="3"/>
      <c r="AO53" s="15"/>
    </row>
    <row r="54" spans="2:41" x14ac:dyDescent="0.2">
      <c r="B54" s="47">
        <f t="shared" si="8"/>
        <v>37</v>
      </c>
      <c r="C54" s="48" t="str">
        <f>IF(ISNUMBER(Daten!B53),Daten!B53,"")</f>
        <v/>
      </c>
      <c r="D54" s="48" t="str">
        <f t="shared" si="10"/>
        <v/>
      </c>
      <c r="E54" s="49" t="str">
        <f t="shared" si="7"/>
        <v/>
      </c>
      <c r="F54" s="64"/>
      <c r="G54" s="49" t="str">
        <f t="shared" si="3"/>
        <v/>
      </c>
      <c r="H54" s="67"/>
      <c r="I54" s="183" t="str">
        <f>IF(ISNUMBER(Daten!C53),Daten!D53,"")</f>
        <v/>
      </c>
      <c r="J54" s="50" t="str">
        <f t="shared" si="4"/>
        <v/>
      </c>
      <c r="K54" s="18"/>
      <c r="L54" s="4" t="str">
        <f t="shared" si="5"/>
        <v xml:space="preserve"> </v>
      </c>
      <c r="M54" s="9" t="str">
        <f t="shared" si="6"/>
        <v/>
      </c>
      <c r="N54" t="str">
        <f t="shared" si="9"/>
        <v/>
      </c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8"/>
      <c r="AH54" s="17"/>
      <c r="AI54" s="13"/>
      <c r="AJ54" s="13"/>
      <c r="AK54" s="14"/>
      <c r="AL54" s="14"/>
      <c r="AM54" s="15"/>
      <c r="AN54" s="3"/>
      <c r="AO54" s="15"/>
    </row>
    <row r="55" spans="2:41" x14ac:dyDescent="0.2">
      <c r="B55" s="47">
        <f t="shared" si="8"/>
        <v>38</v>
      </c>
      <c r="C55" s="48" t="str">
        <f>IF(ISNUMBER(Daten!B54),Daten!B54,"")</f>
        <v/>
      </c>
      <c r="D55" s="48" t="str">
        <f t="shared" si="10"/>
        <v/>
      </c>
      <c r="E55" s="49" t="str">
        <f t="shared" si="7"/>
        <v/>
      </c>
      <c r="F55" s="64"/>
      <c r="G55" s="49" t="str">
        <f t="shared" si="3"/>
        <v/>
      </c>
      <c r="H55" s="67"/>
      <c r="I55" s="183" t="str">
        <f>IF(ISNUMBER(Daten!C54),Daten!D54,"")</f>
        <v/>
      </c>
      <c r="J55" s="50" t="str">
        <f t="shared" si="4"/>
        <v/>
      </c>
      <c r="K55" s="18"/>
      <c r="L55" s="4" t="str">
        <f t="shared" si="5"/>
        <v xml:space="preserve"> </v>
      </c>
      <c r="M55" s="9" t="str">
        <f t="shared" si="6"/>
        <v/>
      </c>
      <c r="N55" t="str">
        <f t="shared" si="9"/>
        <v/>
      </c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8"/>
      <c r="AH55" s="17"/>
      <c r="AI55" s="13"/>
      <c r="AJ55" s="13"/>
      <c r="AK55" s="14"/>
      <c r="AL55" s="14"/>
      <c r="AM55" s="15"/>
      <c r="AN55" s="3"/>
      <c r="AO55" s="15"/>
    </row>
    <row r="56" spans="2:41" x14ac:dyDescent="0.2">
      <c r="B56" s="47">
        <f t="shared" si="8"/>
        <v>39</v>
      </c>
      <c r="C56" s="48" t="str">
        <f>IF(ISNUMBER(Daten!B55),Daten!B55,"")</f>
        <v/>
      </c>
      <c r="D56" s="48" t="str">
        <f t="shared" si="10"/>
        <v/>
      </c>
      <c r="E56" s="49" t="str">
        <f t="shared" si="7"/>
        <v/>
      </c>
      <c r="F56" s="64"/>
      <c r="G56" s="49" t="str">
        <f t="shared" si="3"/>
        <v/>
      </c>
      <c r="H56" s="67"/>
      <c r="I56" s="183" t="str">
        <f>IF(ISNUMBER(Daten!C55),Daten!D55,"")</f>
        <v/>
      </c>
      <c r="J56" s="50" t="str">
        <f t="shared" si="4"/>
        <v/>
      </c>
      <c r="K56" s="18"/>
      <c r="L56" s="4" t="str">
        <f t="shared" si="5"/>
        <v xml:space="preserve"> </v>
      </c>
      <c r="M56" s="9" t="str">
        <f t="shared" si="6"/>
        <v/>
      </c>
      <c r="N56" t="str">
        <f t="shared" si="9"/>
        <v/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8"/>
      <c r="AH56" s="17"/>
      <c r="AI56" s="13"/>
      <c r="AJ56" s="13"/>
      <c r="AK56" s="14"/>
      <c r="AL56" s="14"/>
      <c r="AM56" s="15"/>
      <c r="AN56" s="3"/>
      <c r="AO56" s="15"/>
    </row>
    <row r="57" spans="2:41" x14ac:dyDescent="0.2">
      <c r="B57" s="47">
        <f t="shared" si="8"/>
        <v>40</v>
      </c>
      <c r="C57" s="48" t="str">
        <f>IF(ISNUMBER(Daten!B56),Daten!B56,"")</f>
        <v/>
      </c>
      <c r="D57" s="48" t="str">
        <f t="shared" si="10"/>
        <v/>
      </c>
      <c r="E57" s="49" t="str">
        <f t="shared" si="7"/>
        <v/>
      </c>
      <c r="F57" s="64"/>
      <c r="G57" s="49" t="str">
        <f t="shared" si="3"/>
        <v/>
      </c>
      <c r="H57" s="67"/>
      <c r="I57" s="183" t="str">
        <f>IF(ISNUMBER(Daten!C56),Daten!D56,"")</f>
        <v/>
      </c>
      <c r="J57" s="50" t="str">
        <f t="shared" si="4"/>
        <v/>
      </c>
      <c r="K57" s="18"/>
      <c r="L57" s="4" t="str">
        <f t="shared" si="5"/>
        <v xml:space="preserve"> </v>
      </c>
      <c r="M57" s="9" t="str">
        <f t="shared" si="6"/>
        <v/>
      </c>
      <c r="N57" t="str">
        <f t="shared" si="9"/>
        <v/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8"/>
      <c r="AH57" s="17"/>
      <c r="AI57" s="13"/>
      <c r="AJ57" s="13"/>
      <c r="AK57" s="14"/>
      <c r="AL57" s="14"/>
      <c r="AM57" s="15"/>
      <c r="AN57" s="3"/>
      <c r="AO57" s="15"/>
    </row>
    <row r="58" spans="2:41" x14ac:dyDescent="0.2">
      <c r="B58" s="47">
        <f t="shared" si="8"/>
        <v>41</v>
      </c>
      <c r="C58" s="48" t="str">
        <f>IF(ISNUMBER(Daten!B57),Daten!B57,"")</f>
        <v/>
      </c>
      <c r="D58" s="48" t="str">
        <f t="shared" si="10"/>
        <v/>
      </c>
      <c r="E58" s="49" t="str">
        <f t="shared" si="7"/>
        <v/>
      </c>
      <c r="F58" s="64"/>
      <c r="G58" s="49" t="str">
        <f t="shared" si="3"/>
        <v/>
      </c>
      <c r="H58" s="67"/>
      <c r="I58" s="183" t="str">
        <f>IF(ISNUMBER(Daten!C57),Daten!D57,"")</f>
        <v/>
      </c>
      <c r="J58" s="50" t="str">
        <f t="shared" si="4"/>
        <v/>
      </c>
      <c r="K58" s="18"/>
      <c r="L58" s="4" t="str">
        <f t="shared" si="5"/>
        <v xml:space="preserve"> </v>
      </c>
      <c r="M58" s="9" t="str">
        <f t="shared" si="6"/>
        <v/>
      </c>
      <c r="N58" t="str">
        <f t="shared" si="9"/>
        <v/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8"/>
      <c r="AH58" s="17"/>
      <c r="AI58" s="13"/>
      <c r="AJ58" s="13"/>
      <c r="AK58" s="14"/>
      <c r="AL58" s="14"/>
      <c r="AM58" s="15"/>
      <c r="AN58" s="3"/>
      <c r="AO58" s="15"/>
    </row>
    <row r="59" spans="2:41" x14ac:dyDescent="0.2">
      <c r="B59" s="47">
        <f t="shared" si="8"/>
        <v>42</v>
      </c>
      <c r="C59" s="48" t="str">
        <f>IF(ISNUMBER(Daten!B58),Daten!B58,"")</f>
        <v/>
      </c>
      <c r="D59" s="48" t="str">
        <f t="shared" si="10"/>
        <v/>
      </c>
      <c r="E59" s="49" t="str">
        <f t="shared" si="7"/>
        <v/>
      </c>
      <c r="F59" s="64"/>
      <c r="G59" s="49" t="str">
        <f t="shared" si="3"/>
        <v/>
      </c>
      <c r="H59" s="67"/>
      <c r="I59" s="183" t="str">
        <f>IF(ISNUMBER(Daten!C58),Daten!D58,"")</f>
        <v/>
      </c>
      <c r="J59" s="50" t="str">
        <f t="shared" si="4"/>
        <v/>
      </c>
      <c r="K59" s="18"/>
      <c r="L59" s="4" t="str">
        <f t="shared" si="5"/>
        <v xml:space="preserve"> </v>
      </c>
      <c r="M59" s="9" t="str">
        <f t="shared" si="6"/>
        <v/>
      </c>
      <c r="N59" t="str">
        <f t="shared" si="9"/>
        <v/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8"/>
      <c r="AH59" s="17"/>
      <c r="AI59" s="13"/>
      <c r="AJ59" s="13"/>
      <c r="AK59" s="14"/>
      <c r="AL59" s="14"/>
      <c r="AM59" s="15"/>
      <c r="AN59" s="3"/>
      <c r="AO59" s="15"/>
    </row>
    <row r="60" spans="2:41" x14ac:dyDescent="0.2">
      <c r="B60" s="47">
        <f t="shared" si="8"/>
        <v>43</v>
      </c>
      <c r="C60" s="48" t="str">
        <f>IF(ISNUMBER(Daten!B59),Daten!B59,"")</f>
        <v/>
      </c>
      <c r="D60" s="48" t="str">
        <f t="shared" si="10"/>
        <v/>
      </c>
      <c r="E60" s="49" t="str">
        <f t="shared" si="7"/>
        <v/>
      </c>
      <c r="F60" s="64"/>
      <c r="G60" s="49" t="str">
        <f t="shared" si="3"/>
        <v/>
      </c>
      <c r="H60" s="67"/>
      <c r="I60" s="183" t="str">
        <f>IF(ISNUMBER(Daten!C59),Daten!D59,"")</f>
        <v/>
      </c>
      <c r="J60" s="50" t="str">
        <f t="shared" si="4"/>
        <v/>
      </c>
      <c r="K60" s="18"/>
      <c r="L60" s="4" t="str">
        <f t="shared" si="5"/>
        <v xml:space="preserve"> </v>
      </c>
      <c r="M60" s="9" t="str">
        <f t="shared" si="6"/>
        <v/>
      </c>
      <c r="N60" t="str">
        <f t="shared" si="9"/>
        <v/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8"/>
      <c r="AH60" s="17"/>
      <c r="AI60" s="13"/>
      <c r="AJ60" s="13"/>
      <c r="AK60" s="14"/>
      <c r="AL60" s="14"/>
      <c r="AM60" s="15"/>
      <c r="AN60" s="3"/>
      <c r="AO60" s="15"/>
    </row>
    <row r="61" spans="2:41" x14ac:dyDescent="0.2">
      <c r="B61" s="47">
        <f t="shared" si="8"/>
        <v>44</v>
      </c>
      <c r="C61" s="48" t="str">
        <f>IF(ISNUMBER(Daten!B60),Daten!B60,"")</f>
        <v/>
      </c>
      <c r="D61" s="48" t="str">
        <f t="shared" si="10"/>
        <v/>
      </c>
      <c r="E61" s="49" t="str">
        <f t="shared" si="7"/>
        <v/>
      </c>
      <c r="F61" s="64"/>
      <c r="G61" s="49" t="str">
        <f t="shared" si="3"/>
        <v/>
      </c>
      <c r="H61" s="67"/>
      <c r="I61" s="183" t="str">
        <f>IF(ISNUMBER(Daten!C60),Daten!D60,"")</f>
        <v/>
      </c>
      <c r="J61" s="50" t="str">
        <f t="shared" si="4"/>
        <v/>
      </c>
      <c r="K61" s="18"/>
      <c r="L61" s="4" t="str">
        <f t="shared" si="5"/>
        <v xml:space="preserve"> </v>
      </c>
      <c r="M61" s="9" t="str">
        <f t="shared" si="6"/>
        <v/>
      </c>
      <c r="N61" t="str">
        <f t="shared" si="9"/>
        <v/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8"/>
      <c r="AH61" s="17"/>
      <c r="AI61" s="13"/>
      <c r="AJ61" s="13"/>
      <c r="AK61" s="14"/>
      <c r="AL61" s="14"/>
      <c r="AM61" s="15"/>
      <c r="AN61" s="3"/>
      <c r="AO61" s="15"/>
    </row>
    <row r="62" spans="2:41" x14ac:dyDescent="0.2">
      <c r="B62" s="47">
        <f t="shared" si="8"/>
        <v>45</v>
      </c>
      <c r="C62" s="48" t="str">
        <f>IF(ISNUMBER(Daten!B61),Daten!B61,"")</f>
        <v/>
      </c>
      <c r="D62" s="48" t="str">
        <f t="shared" si="10"/>
        <v/>
      </c>
      <c r="E62" s="49" t="str">
        <f t="shared" si="7"/>
        <v/>
      </c>
      <c r="F62" s="64"/>
      <c r="G62" s="49" t="str">
        <f t="shared" si="3"/>
        <v/>
      </c>
      <c r="H62" s="67"/>
      <c r="I62" s="183" t="str">
        <f>IF(ISNUMBER(Daten!C61),Daten!D61,"")</f>
        <v/>
      </c>
      <c r="J62" s="50" t="str">
        <f t="shared" si="4"/>
        <v/>
      </c>
      <c r="K62" s="18"/>
      <c r="L62" s="4" t="str">
        <f t="shared" si="5"/>
        <v xml:space="preserve"> </v>
      </c>
      <c r="M62" s="9" t="str">
        <f t="shared" si="6"/>
        <v/>
      </c>
      <c r="N62" t="str">
        <f t="shared" si="9"/>
        <v/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8"/>
      <c r="AH62" s="17"/>
      <c r="AI62" s="13"/>
      <c r="AJ62" s="13"/>
      <c r="AK62" s="14"/>
      <c r="AL62" s="14"/>
      <c r="AM62" s="15"/>
      <c r="AN62" s="3"/>
      <c r="AO62" s="15"/>
    </row>
    <row r="63" spans="2:41" x14ac:dyDescent="0.2">
      <c r="B63" s="47">
        <f t="shared" si="8"/>
        <v>46</v>
      </c>
      <c r="C63" s="48" t="str">
        <f>IF(ISNUMBER(Daten!B62),Daten!B62,"")</f>
        <v/>
      </c>
      <c r="D63" s="48" t="str">
        <f t="shared" si="10"/>
        <v/>
      </c>
      <c r="E63" s="49" t="str">
        <f t="shared" si="7"/>
        <v/>
      </c>
      <c r="F63" s="64"/>
      <c r="G63" s="49" t="str">
        <f t="shared" si="3"/>
        <v/>
      </c>
      <c r="H63" s="67"/>
      <c r="I63" s="183" t="str">
        <f>IF(ISNUMBER(Daten!C62),Daten!D62,"")</f>
        <v/>
      </c>
      <c r="J63" s="50" t="str">
        <f t="shared" si="4"/>
        <v/>
      </c>
      <c r="K63" s="18"/>
      <c r="L63" s="4" t="str">
        <f t="shared" si="5"/>
        <v xml:space="preserve"> </v>
      </c>
      <c r="M63" s="9" t="str">
        <f t="shared" si="6"/>
        <v/>
      </c>
      <c r="N63" t="str">
        <f t="shared" si="9"/>
        <v/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8"/>
      <c r="AH63" s="17"/>
      <c r="AI63" s="13"/>
      <c r="AJ63" s="13"/>
      <c r="AK63" s="14"/>
      <c r="AL63" s="14"/>
      <c r="AM63" s="15"/>
      <c r="AN63" s="3"/>
      <c r="AO63" s="15"/>
    </row>
    <row r="64" spans="2:41" x14ac:dyDescent="0.2">
      <c r="B64" s="47">
        <f t="shared" si="8"/>
        <v>47</v>
      </c>
      <c r="C64" s="48" t="str">
        <f>IF(ISNUMBER(Daten!B63),Daten!B63,"")</f>
        <v/>
      </c>
      <c r="D64" s="48" t="str">
        <f t="shared" si="10"/>
        <v/>
      </c>
      <c r="E64" s="49" t="str">
        <f t="shared" si="7"/>
        <v/>
      </c>
      <c r="F64" s="64"/>
      <c r="G64" s="49" t="str">
        <f t="shared" si="3"/>
        <v/>
      </c>
      <c r="H64" s="67"/>
      <c r="I64" s="183" t="str">
        <f>IF(ISNUMBER(Daten!C63),Daten!D63,"")</f>
        <v/>
      </c>
      <c r="J64" s="50" t="str">
        <f t="shared" si="4"/>
        <v/>
      </c>
      <c r="K64" s="18"/>
      <c r="L64" s="4" t="str">
        <f t="shared" si="5"/>
        <v xml:space="preserve"> </v>
      </c>
      <c r="M64" s="9" t="str">
        <f t="shared" si="6"/>
        <v/>
      </c>
      <c r="N64" t="str">
        <f t="shared" si="9"/>
        <v/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8"/>
      <c r="AH64" s="17"/>
      <c r="AI64" s="13"/>
      <c r="AJ64" s="13"/>
      <c r="AK64" s="14"/>
      <c r="AL64" s="14"/>
      <c r="AM64" s="15"/>
      <c r="AN64" s="3"/>
      <c r="AO64" s="15"/>
    </row>
    <row r="65" spans="2:41" x14ac:dyDescent="0.2">
      <c r="B65" s="47">
        <f t="shared" si="8"/>
        <v>48</v>
      </c>
      <c r="C65" s="48" t="str">
        <f>IF(ISNUMBER(Daten!B64),Daten!B64,"")</f>
        <v/>
      </c>
      <c r="D65" s="48" t="str">
        <f t="shared" si="10"/>
        <v/>
      </c>
      <c r="E65" s="49" t="str">
        <f t="shared" si="7"/>
        <v/>
      </c>
      <c r="F65" s="64"/>
      <c r="G65" s="49" t="str">
        <f t="shared" si="3"/>
        <v/>
      </c>
      <c r="H65" s="67"/>
      <c r="I65" s="183" t="str">
        <f>IF(ISNUMBER(Daten!C64),Daten!D64,"")</f>
        <v/>
      </c>
      <c r="J65" s="50" t="str">
        <f t="shared" si="4"/>
        <v/>
      </c>
      <c r="K65" s="18"/>
      <c r="L65" s="4" t="str">
        <f t="shared" si="5"/>
        <v xml:space="preserve"> </v>
      </c>
      <c r="M65" s="9" t="str">
        <f t="shared" si="6"/>
        <v/>
      </c>
      <c r="N65" t="str">
        <f t="shared" si="9"/>
        <v/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8"/>
      <c r="AH65" s="17"/>
      <c r="AI65" s="13"/>
      <c r="AJ65" s="13"/>
      <c r="AK65" s="14"/>
      <c r="AL65" s="14"/>
      <c r="AM65" s="15"/>
      <c r="AN65" s="3"/>
      <c r="AO65" s="15"/>
    </row>
    <row r="66" spans="2:41" x14ac:dyDescent="0.2">
      <c r="B66" s="47">
        <f t="shared" si="8"/>
        <v>49</v>
      </c>
      <c r="C66" s="48" t="str">
        <f>IF(ISNUMBER(Daten!B65),Daten!B65,"")</f>
        <v/>
      </c>
      <c r="D66" s="48" t="str">
        <f t="shared" si="10"/>
        <v/>
      </c>
      <c r="E66" s="49" t="str">
        <f t="shared" si="7"/>
        <v/>
      </c>
      <c r="F66" s="64"/>
      <c r="G66" s="49" t="str">
        <f t="shared" si="3"/>
        <v/>
      </c>
      <c r="H66" s="67"/>
      <c r="I66" s="183" t="str">
        <f>IF(ISNUMBER(Daten!C65),Daten!D65,"")</f>
        <v/>
      </c>
      <c r="J66" s="50" t="str">
        <f t="shared" si="4"/>
        <v/>
      </c>
      <c r="K66" s="18"/>
      <c r="L66" s="4" t="str">
        <f t="shared" si="5"/>
        <v xml:space="preserve"> </v>
      </c>
      <c r="M66" s="9" t="str">
        <f t="shared" si="6"/>
        <v/>
      </c>
      <c r="N66" t="str">
        <f t="shared" si="9"/>
        <v/>
      </c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8"/>
      <c r="AH66" s="17"/>
      <c r="AI66" s="13"/>
      <c r="AJ66" s="13"/>
      <c r="AK66" s="14"/>
      <c r="AL66" s="14"/>
      <c r="AM66" s="15"/>
      <c r="AN66" s="3"/>
      <c r="AO66" s="15"/>
    </row>
    <row r="67" spans="2:41" x14ac:dyDescent="0.2">
      <c r="B67" s="47">
        <f t="shared" si="8"/>
        <v>50</v>
      </c>
      <c r="C67" s="48" t="str">
        <f>IF(ISNUMBER(Daten!B66),Daten!B66,"")</f>
        <v/>
      </c>
      <c r="D67" s="48" t="str">
        <f t="shared" si="10"/>
        <v/>
      </c>
      <c r="E67" s="49" t="str">
        <f t="shared" si="7"/>
        <v/>
      </c>
      <c r="F67" s="64"/>
      <c r="G67" s="49" t="str">
        <f t="shared" si="3"/>
        <v/>
      </c>
      <c r="H67" s="67"/>
      <c r="I67" s="183" t="str">
        <f>IF(ISNUMBER(Daten!C66),Daten!D66,"")</f>
        <v/>
      </c>
      <c r="J67" s="50" t="str">
        <f t="shared" si="4"/>
        <v/>
      </c>
      <c r="K67" s="18"/>
      <c r="L67" s="4" t="str">
        <f t="shared" si="5"/>
        <v xml:space="preserve"> </v>
      </c>
      <c r="M67" s="9" t="str">
        <f t="shared" si="6"/>
        <v/>
      </c>
      <c r="N67" t="str">
        <f t="shared" si="9"/>
        <v/>
      </c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8"/>
      <c r="AH67" s="17"/>
      <c r="AI67" s="13"/>
      <c r="AJ67" s="13"/>
      <c r="AK67" s="14"/>
      <c r="AL67" s="14"/>
      <c r="AM67" s="15"/>
      <c r="AN67" s="3"/>
      <c r="AO67" s="15"/>
    </row>
    <row r="68" spans="2:41" x14ac:dyDescent="0.2">
      <c r="B68" s="47">
        <f t="shared" si="8"/>
        <v>51</v>
      </c>
      <c r="C68" s="48" t="str">
        <f>IF(ISNUMBER(Daten!B67),Daten!B67,"")</f>
        <v/>
      </c>
      <c r="D68" s="48" t="str">
        <f t="shared" si="10"/>
        <v/>
      </c>
      <c r="E68" s="49" t="str">
        <f t="shared" si="7"/>
        <v/>
      </c>
      <c r="F68" s="64"/>
      <c r="G68" s="49" t="str">
        <f t="shared" si="3"/>
        <v/>
      </c>
      <c r="H68" s="67"/>
      <c r="I68" s="183" t="str">
        <f>IF(ISNUMBER(Daten!C67),Daten!D67,"")</f>
        <v/>
      </c>
      <c r="J68" s="50" t="str">
        <f t="shared" si="4"/>
        <v/>
      </c>
      <c r="K68" s="18"/>
      <c r="L68" s="4" t="str">
        <f t="shared" si="5"/>
        <v xml:space="preserve"> </v>
      </c>
      <c r="M68" s="9" t="str">
        <f t="shared" si="6"/>
        <v/>
      </c>
      <c r="N68" t="str">
        <f t="shared" si="9"/>
        <v/>
      </c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8"/>
      <c r="AH68" s="17"/>
      <c r="AI68" s="13"/>
      <c r="AJ68" s="13"/>
      <c r="AK68" s="14"/>
      <c r="AL68" s="14"/>
      <c r="AM68" s="15"/>
      <c r="AN68" s="3"/>
      <c r="AO68" s="15"/>
    </row>
    <row r="69" spans="2:41" x14ac:dyDescent="0.2">
      <c r="B69" s="47">
        <f t="shared" si="8"/>
        <v>52</v>
      </c>
      <c r="C69" s="48" t="str">
        <f>IF(ISNUMBER(Daten!B68),Daten!B68,"")</f>
        <v/>
      </c>
      <c r="D69" s="48" t="str">
        <f t="shared" si="10"/>
        <v/>
      </c>
      <c r="E69" s="49" t="str">
        <f t="shared" si="7"/>
        <v/>
      </c>
      <c r="F69" s="64"/>
      <c r="G69" s="49" t="str">
        <f t="shared" si="3"/>
        <v/>
      </c>
      <c r="H69" s="67"/>
      <c r="I69" s="183" t="str">
        <f>IF(ISNUMBER(Daten!C68),Daten!D68,"")</f>
        <v/>
      </c>
      <c r="J69" s="50" t="str">
        <f t="shared" si="4"/>
        <v/>
      </c>
      <c r="K69" s="18"/>
      <c r="L69" s="4" t="str">
        <f t="shared" si="5"/>
        <v xml:space="preserve"> </v>
      </c>
      <c r="M69" s="9" t="str">
        <f t="shared" si="6"/>
        <v/>
      </c>
      <c r="N69" t="str">
        <f t="shared" si="9"/>
        <v/>
      </c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8"/>
      <c r="AH69" s="17"/>
      <c r="AI69" s="13"/>
      <c r="AJ69" s="13"/>
      <c r="AK69" s="14"/>
      <c r="AL69" s="14"/>
      <c r="AM69" s="15"/>
      <c r="AN69" s="3"/>
      <c r="AO69" s="15"/>
    </row>
    <row r="70" spans="2:41" x14ac:dyDescent="0.2">
      <c r="B70" s="47">
        <f t="shared" si="8"/>
        <v>53</v>
      </c>
      <c r="C70" s="48" t="str">
        <f>IF(ISNUMBER(Daten!B69),Daten!B69,"")</f>
        <v/>
      </c>
      <c r="D70" s="48" t="str">
        <f t="shared" si="10"/>
        <v/>
      </c>
      <c r="E70" s="49" t="str">
        <f t="shared" si="7"/>
        <v/>
      </c>
      <c r="F70" s="64"/>
      <c r="G70" s="49" t="str">
        <f t="shared" si="3"/>
        <v/>
      </c>
      <c r="H70" s="67"/>
      <c r="I70" s="183" t="str">
        <f>IF(ISNUMBER(Daten!C69),Daten!D69,"")</f>
        <v/>
      </c>
      <c r="J70" s="50" t="str">
        <f t="shared" si="4"/>
        <v/>
      </c>
      <c r="K70" s="18"/>
      <c r="L70" s="4" t="str">
        <f t="shared" si="5"/>
        <v xml:space="preserve"> </v>
      </c>
      <c r="M70" s="9" t="str">
        <f t="shared" si="6"/>
        <v/>
      </c>
      <c r="N70" t="str">
        <f t="shared" si="9"/>
        <v/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8"/>
      <c r="AH70" s="17"/>
      <c r="AI70" s="13"/>
      <c r="AJ70" s="13"/>
      <c r="AK70" s="14"/>
      <c r="AL70" s="14"/>
      <c r="AM70" s="15"/>
      <c r="AN70" s="3"/>
      <c r="AO70" s="15"/>
    </row>
    <row r="71" spans="2:41" x14ac:dyDescent="0.2">
      <c r="B71" s="47">
        <f t="shared" si="8"/>
        <v>54</v>
      </c>
      <c r="C71" s="48" t="str">
        <f>IF(ISNUMBER(Daten!B70),Daten!B70,"")</f>
        <v/>
      </c>
      <c r="D71" s="48" t="str">
        <f t="shared" si="10"/>
        <v/>
      </c>
      <c r="E71" s="49" t="str">
        <f t="shared" si="7"/>
        <v/>
      </c>
      <c r="F71" s="64"/>
      <c r="G71" s="49" t="str">
        <f t="shared" si="3"/>
        <v/>
      </c>
      <c r="H71" s="67"/>
      <c r="I71" s="183" t="str">
        <f>IF(ISNUMBER(Daten!C70),Daten!D70,"")</f>
        <v/>
      </c>
      <c r="J71" s="50" t="str">
        <f t="shared" si="4"/>
        <v/>
      </c>
      <c r="K71" s="18"/>
      <c r="L71" s="4" t="str">
        <f t="shared" si="5"/>
        <v xml:space="preserve"> </v>
      </c>
      <c r="M71" s="9" t="str">
        <f t="shared" si="6"/>
        <v/>
      </c>
      <c r="N71" t="str">
        <f t="shared" si="9"/>
        <v/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8"/>
      <c r="AH71" s="17"/>
      <c r="AI71" s="13"/>
      <c r="AJ71" s="13"/>
      <c r="AK71" s="14"/>
      <c r="AL71" s="14"/>
      <c r="AM71" s="15"/>
      <c r="AN71" s="3"/>
      <c r="AO71" s="15"/>
    </row>
    <row r="72" spans="2:41" x14ac:dyDescent="0.2">
      <c r="B72" s="47">
        <f t="shared" si="8"/>
        <v>55</v>
      </c>
      <c r="C72" s="48" t="str">
        <f>IF(ISNUMBER(Daten!B71),Daten!B71,"")</f>
        <v/>
      </c>
      <c r="D72" s="48" t="str">
        <f t="shared" si="10"/>
        <v/>
      </c>
      <c r="E72" s="49" t="str">
        <f t="shared" si="7"/>
        <v/>
      </c>
      <c r="F72" s="64"/>
      <c r="G72" s="49" t="str">
        <f t="shared" si="3"/>
        <v/>
      </c>
      <c r="H72" s="67"/>
      <c r="I72" s="183" t="str">
        <f>IF(ISNUMBER(Daten!C71),Daten!D71,"")</f>
        <v/>
      </c>
      <c r="J72" s="50" t="str">
        <f t="shared" si="4"/>
        <v/>
      </c>
      <c r="K72" s="18"/>
      <c r="L72" s="4" t="str">
        <f t="shared" si="5"/>
        <v xml:space="preserve"> </v>
      </c>
      <c r="M72" s="9" t="str">
        <f t="shared" si="6"/>
        <v/>
      </c>
      <c r="N72" t="str">
        <f t="shared" si="9"/>
        <v/>
      </c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8"/>
      <c r="AH72" s="17"/>
      <c r="AI72" s="13"/>
      <c r="AJ72" s="13"/>
      <c r="AK72" s="14"/>
      <c r="AL72" s="14"/>
      <c r="AM72" s="15"/>
      <c r="AN72" s="3"/>
      <c r="AO72" s="15"/>
    </row>
    <row r="73" spans="2:41" x14ac:dyDescent="0.2">
      <c r="B73" s="47">
        <f t="shared" si="8"/>
        <v>56</v>
      </c>
      <c r="C73" s="48" t="str">
        <f>IF(ISNUMBER(Daten!B72),Daten!B72,"")</f>
        <v/>
      </c>
      <c r="D73" s="48" t="str">
        <f t="shared" si="10"/>
        <v/>
      </c>
      <c r="E73" s="49" t="str">
        <f t="shared" si="7"/>
        <v/>
      </c>
      <c r="F73" s="64"/>
      <c r="G73" s="49" t="str">
        <f t="shared" si="3"/>
        <v/>
      </c>
      <c r="H73" s="67"/>
      <c r="I73" s="183" t="str">
        <f>IF(ISNUMBER(Daten!C72),Daten!D72,"")</f>
        <v/>
      </c>
      <c r="J73" s="50" t="str">
        <f t="shared" si="4"/>
        <v/>
      </c>
      <c r="K73" s="18"/>
      <c r="L73" s="4" t="str">
        <f t="shared" si="5"/>
        <v xml:space="preserve"> </v>
      </c>
      <c r="M73" s="9" t="str">
        <f t="shared" si="6"/>
        <v/>
      </c>
      <c r="N73" t="str">
        <f t="shared" si="9"/>
        <v/>
      </c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8"/>
      <c r="AH73" s="17"/>
      <c r="AI73" s="13"/>
      <c r="AJ73" s="13"/>
      <c r="AK73" s="14"/>
      <c r="AL73" s="14"/>
      <c r="AM73" s="15"/>
      <c r="AN73" s="3"/>
      <c r="AO73" s="15"/>
    </row>
    <row r="74" spans="2:41" x14ac:dyDescent="0.2">
      <c r="B74" s="47">
        <f t="shared" si="8"/>
        <v>57</v>
      </c>
      <c r="C74" s="48" t="str">
        <f>IF(ISNUMBER(Daten!B73),Daten!B73,"")</f>
        <v/>
      </c>
      <c r="D74" s="48" t="str">
        <f t="shared" si="10"/>
        <v/>
      </c>
      <c r="E74" s="49" t="str">
        <f t="shared" si="7"/>
        <v/>
      </c>
      <c r="F74" s="64"/>
      <c r="G74" s="49" t="str">
        <f t="shared" si="3"/>
        <v/>
      </c>
      <c r="H74" s="67"/>
      <c r="I74" s="183" t="str">
        <f>IF(ISNUMBER(Daten!C73),Daten!D73,"")</f>
        <v/>
      </c>
      <c r="J74" s="50" t="str">
        <f t="shared" si="4"/>
        <v/>
      </c>
      <c r="K74" s="18"/>
      <c r="L74" s="4" t="str">
        <f t="shared" si="5"/>
        <v xml:space="preserve"> </v>
      </c>
      <c r="M74" s="9" t="str">
        <f t="shared" si="6"/>
        <v/>
      </c>
      <c r="N74" t="str">
        <f t="shared" si="9"/>
        <v/>
      </c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8"/>
      <c r="AH74" s="17"/>
      <c r="AI74" s="13"/>
      <c r="AJ74" s="13"/>
      <c r="AK74" s="14"/>
      <c r="AL74" s="14"/>
      <c r="AM74" s="15"/>
      <c r="AN74" s="3"/>
      <c r="AO74" s="15"/>
    </row>
    <row r="75" spans="2:41" x14ac:dyDescent="0.2">
      <c r="B75" s="47">
        <f t="shared" si="8"/>
        <v>58</v>
      </c>
      <c r="C75" s="48" t="str">
        <f>IF(ISNUMBER(Daten!B74),Daten!B74,"")</f>
        <v/>
      </c>
      <c r="D75" s="48" t="str">
        <f t="shared" si="10"/>
        <v/>
      </c>
      <c r="E75" s="49" t="str">
        <f t="shared" si="7"/>
        <v/>
      </c>
      <c r="F75" s="64"/>
      <c r="G75" s="49" t="str">
        <f t="shared" si="3"/>
        <v/>
      </c>
      <c r="H75" s="67"/>
      <c r="I75" s="183" t="str">
        <f>IF(ISNUMBER(Daten!C74),Daten!D74,"")</f>
        <v/>
      </c>
      <c r="J75" s="50" t="str">
        <f t="shared" si="4"/>
        <v/>
      </c>
      <c r="K75" s="18"/>
      <c r="L75" s="4" t="str">
        <f t="shared" si="5"/>
        <v xml:space="preserve"> </v>
      </c>
      <c r="M75" s="9" t="str">
        <f t="shared" si="6"/>
        <v/>
      </c>
      <c r="N75" t="str">
        <f t="shared" si="9"/>
        <v/>
      </c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8"/>
      <c r="AH75" s="17"/>
      <c r="AI75" s="13"/>
      <c r="AJ75" s="13"/>
      <c r="AK75" s="14"/>
      <c r="AL75" s="14"/>
      <c r="AM75" s="15"/>
      <c r="AN75" s="3"/>
      <c r="AO75" s="15"/>
    </row>
    <row r="76" spans="2:41" x14ac:dyDescent="0.2">
      <c r="B76" s="47">
        <f t="shared" si="8"/>
        <v>59</v>
      </c>
      <c r="C76" s="48" t="str">
        <f>IF(ISNUMBER(Daten!B75),Daten!B75,"")</f>
        <v/>
      </c>
      <c r="D76" s="48" t="str">
        <f t="shared" si="10"/>
        <v/>
      </c>
      <c r="E76" s="49" t="str">
        <f t="shared" si="7"/>
        <v/>
      </c>
      <c r="F76" s="64"/>
      <c r="G76" s="49" t="str">
        <f t="shared" si="3"/>
        <v/>
      </c>
      <c r="H76" s="67"/>
      <c r="I76" s="183" t="str">
        <f>IF(ISNUMBER(Daten!C75),Daten!D75,"")</f>
        <v/>
      </c>
      <c r="J76" s="50" t="str">
        <f t="shared" si="4"/>
        <v/>
      </c>
      <c r="K76" s="18"/>
      <c r="L76" s="4" t="str">
        <f t="shared" si="5"/>
        <v xml:space="preserve"> </v>
      </c>
      <c r="M76" s="9" t="str">
        <f t="shared" si="6"/>
        <v/>
      </c>
      <c r="N76" t="str">
        <f t="shared" si="9"/>
        <v/>
      </c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8"/>
      <c r="AH76" s="17"/>
      <c r="AI76" s="13"/>
      <c r="AJ76" s="13"/>
      <c r="AK76" s="14"/>
      <c r="AL76" s="14"/>
      <c r="AM76" s="15"/>
      <c r="AN76" s="3"/>
      <c r="AO76" s="15"/>
    </row>
    <row r="77" spans="2:41" x14ac:dyDescent="0.2">
      <c r="B77" s="47">
        <f t="shared" si="8"/>
        <v>60</v>
      </c>
      <c r="C77" s="48" t="str">
        <f>IF(ISNUMBER(Daten!B76),Daten!B76,"")</f>
        <v/>
      </c>
      <c r="D77" s="48" t="str">
        <f t="shared" si="10"/>
        <v/>
      </c>
      <c r="E77" s="49" t="str">
        <f t="shared" si="7"/>
        <v/>
      </c>
      <c r="F77" s="64"/>
      <c r="G77" s="49" t="str">
        <f t="shared" si="3"/>
        <v/>
      </c>
      <c r="H77" s="67"/>
      <c r="I77" s="183" t="str">
        <f>IF(ISNUMBER(Daten!C76),Daten!D76,"")</f>
        <v/>
      </c>
      <c r="J77" s="50" t="str">
        <f t="shared" si="4"/>
        <v/>
      </c>
      <c r="K77" s="18"/>
      <c r="L77" s="4" t="str">
        <f t="shared" si="5"/>
        <v xml:space="preserve"> </v>
      </c>
      <c r="M77" s="9" t="str">
        <f t="shared" si="6"/>
        <v/>
      </c>
      <c r="N77" t="str">
        <f t="shared" si="9"/>
        <v/>
      </c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8"/>
      <c r="AH77" s="17"/>
      <c r="AI77" s="13"/>
      <c r="AJ77" s="13"/>
      <c r="AK77" s="14"/>
      <c r="AL77" s="14"/>
      <c r="AM77" s="15"/>
      <c r="AN77" s="3"/>
      <c r="AO77" s="15"/>
    </row>
    <row r="78" spans="2:41" x14ac:dyDescent="0.2">
      <c r="B78" s="47">
        <f t="shared" si="8"/>
        <v>61</v>
      </c>
      <c r="C78" s="48" t="str">
        <f>IF(ISNUMBER(Daten!B77),Daten!B77,"")</f>
        <v/>
      </c>
      <c r="D78" s="48" t="str">
        <f t="shared" si="10"/>
        <v/>
      </c>
      <c r="E78" s="49" t="str">
        <f t="shared" si="7"/>
        <v/>
      </c>
      <c r="F78" s="64"/>
      <c r="G78" s="49" t="str">
        <f t="shared" si="3"/>
        <v/>
      </c>
      <c r="H78" s="67"/>
      <c r="I78" s="183" t="str">
        <f>IF(ISNUMBER(Daten!C77),Daten!D77,"")</f>
        <v/>
      </c>
      <c r="J78" s="50" t="str">
        <f t="shared" si="4"/>
        <v/>
      </c>
      <c r="K78" s="18"/>
      <c r="L78" s="4" t="str">
        <f t="shared" si="5"/>
        <v xml:space="preserve"> </v>
      </c>
      <c r="M78" s="9" t="str">
        <f t="shared" si="6"/>
        <v/>
      </c>
      <c r="N78" t="str">
        <f t="shared" si="9"/>
        <v/>
      </c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8"/>
      <c r="AH78" s="17"/>
      <c r="AI78" s="13"/>
      <c r="AJ78" s="13"/>
      <c r="AK78" s="14"/>
      <c r="AL78" s="14"/>
      <c r="AM78" s="15"/>
      <c r="AN78" s="3"/>
      <c r="AO78" s="15"/>
    </row>
    <row r="79" spans="2:41" x14ac:dyDescent="0.2">
      <c r="B79" s="47">
        <f t="shared" si="8"/>
        <v>62</v>
      </c>
      <c r="C79" s="48" t="str">
        <f>IF(ISNUMBER(Daten!B78),Daten!B78,"")</f>
        <v/>
      </c>
      <c r="D79" s="48" t="str">
        <f t="shared" si="10"/>
        <v/>
      </c>
      <c r="E79" s="49" t="str">
        <f t="shared" si="7"/>
        <v/>
      </c>
      <c r="F79" s="64"/>
      <c r="G79" s="49" t="str">
        <f t="shared" si="3"/>
        <v/>
      </c>
      <c r="H79" s="67"/>
      <c r="I79" s="183" t="str">
        <f>IF(ISNUMBER(Daten!C78),Daten!D78,"")</f>
        <v/>
      </c>
      <c r="J79" s="50" t="str">
        <f t="shared" si="4"/>
        <v/>
      </c>
      <c r="K79" s="18"/>
      <c r="L79" s="4" t="str">
        <f t="shared" si="5"/>
        <v xml:space="preserve"> </v>
      </c>
      <c r="M79" s="9" t="str">
        <f t="shared" si="6"/>
        <v/>
      </c>
      <c r="N79" t="str">
        <f t="shared" si="9"/>
        <v/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8"/>
      <c r="AH79" s="17"/>
      <c r="AI79" s="13"/>
      <c r="AJ79" s="13"/>
      <c r="AK79" s="14"/>
      <c r="AL79" s="14"/>
      <c r="AM79" s="15"/>
      <c r="AN79" s="3"/>
      <c r="AO79" s="15"/>
    </row>
    <row r="80" spans="2:41" x14ac:dyDescent="0.2">
      <c r="B80" s="47">
        <f t="shared" si="8"/>
        <v>63</v>
      </c>
      <c r="C80" s="48" t="str">
        <f>IF(ISNUMBER(Daten!B79),Daten!B79,"")</f>
        <v/>
      </c>
      <c r="D80" s="48" t="str">
        <f t="shared" si="10"/>
        <v/>
      </c>
      <c r="E80" s="49" t="str">
        <f t="shared" si="7"/>
        <v/>
      </c>
      <c r="F80" s="64"/>
      <c r="G80" s="49" t="str">
        <f t="shared" si="3"/>
        <v/>
      </c>
      <c r="H80" s="67"/>
      <c r="I80" s="183" t="str">
        <f>IF(ISNUMBER(Daten!C79),Daten!D79,"")</f>
        <v/>
      </c>
      <c r="J80" s="50" t="str">
        <f t="shared" si="4"/>
        <v/>
      </c>
      <c r="K80" s="18"/>
      <c r="L80" s="4" t="str">
        <f t="shared" si="5"/>
        <v xml:space="preserve"> </v>
      </c>
      <c r="M80" s="9" t="str">
        <f t="shared" si="6"/>
        <v/>
      </c>
      <c r="N80" t="str">
        <f t="shared" si="9"/>
        <v/>
      </c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8"/>
      <c r="AH80" s="17"/>
      <c r="AI80" s="13"/>
      <c r="AJ80" s="13"/>
      <c r="AK80" s="14"/>
      <c r="AL80" s="14"/>
      <c r="AM80" s="15"/>
      <c r="AN80" s="3"/>
      <c r="AO80" s="15"/>
    </row>
    <row r="81" spans="2:41" x14ac:dyDescent="0.2">
      <c r="B81" s="47">
        <f t="shared" si="8"/>
        <v>64</v>
      </c>
      <c r="C81" s="48" t="str">
        <f>IF(ISNUMBER(Daten!B80),Daten!B80,"")</f>
        <v/>
      </c>
      <c r="D81" s="48" t="str">
        <f t="shared" si="10"/>
        <v/>
      </c>
      <c r="E81" s="49" t="str">
        <f t="shared" si="7"/>
        <v/>
      </c>
      <c r="F81" s="64"/>
      <c r="G81" s="49" t="str">
        <f t="shared" si="3"/>
        <v/>
      </c>
      <c r="H81" s="67"/>
      <c r="I81" s="183" t="str">
        <f>IF(ISNUMBER(Daten!C80),Daten!D80,"")</f>
        <v/>
      </c>
      <c r="J81" s="50" t="str">
        <f t="shared" si="4"/>
        <v/>
      </c>
      <c r="K81" s="18"/>
      <c r="L81" s="4" t="str">
        <f t="shared" si="5"/>
        <v xml:space="preserve"> </v>
      </c>
      <c r="M81" s="9" t="str">
        <f t="shared" si="6"/>
        <v/>
      </c>
      <c r="N81" t="str">
        <f t="shared" si="9"/>
        <v/>
      </c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8"/>
      <c r="AH81" s="17"/>
      <c r="AI81" s="13"/>
      <c r="AJ81" s="13"/>
      <c r="AK81" s="14"/>
      <c r="AL81" s="14"/>
      <c r="AM81" s="15"/>
      <c r="AN81" s="3"/>
      <c r="AO81" s="15"/>
    </row>
    <row r="82" spans="2:41" x14ac:dyDescent="0.2">
      <c r="B82" s="47">
        <f t="shared" ref="B82:B117" si="11">B81+1</f>
        <v>65</v>
      </c>
      <c r="C82" s="48" t="str">
        <f>IF(ISNUMBER(Daten!B81),Daten!B81,"")</f>
        <v/>
      </c>
      <c r="D82" s="48" t="str">
        <f t="shared" si="10"/>
        <v/>
      </c>
      <c r="E82" s="49" t="str">
        <f t="shared" si="7"/>
        <v/>
      </c>
      <c r="F82" s="64"/>
      <c r="G82" s="49" t="str">
        <f t="shared" si="3"/>
        <v/>
      </c>
      <c r="H82" s="67"/>
      <c r="I82" s="183" t="str">
        <f>IF(ISNUMBER(Daten!C81),Daten!D81,"")</f>
        <v/>
      </c>
      <c r="J82" s="50" t="str">
        <f t="shared" si="4"/>
        <v/>
      </c>
      <c r="K82" s="18"/>
      <c r="L82" s="4" t="str">
        <f t="shared" si="5"/>
        <v xml:space="preserve"> </v>
      </c>
      <c r="M82" s="9" t="str">
        <f t="shared" si="6"/>
        <v/>
      </c>
      <c r="N82" t="str">
        <f t="shared" ref="N82:N117" si="12">IF(ISNUMBER(L82),L82^2,"")</f>
        <v/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8"/>
      <c r="AH82" s="17"/>
      <c r="AI82" s="13"/>
      <c r="AJ82" s="13"/>
      <c r="AK82" s="14"/>
      <c r="AL82" s="14"/>
      <c r="AM82" s="15"/>
      <c r="AN82" s="3"/>
      <c r="AO82" s="15"/>
    </row>
    <row r="83" spans="2:41" x14ac:dyDescent="0.2">
      <c r="B83" s="47">
        <f t="shared" si="11"/>
        <v>66</v>
      </c>
      <c r="C83" s="48" t="str">
        <f>IF(ISNUMBER(Daten!B82),Daten!B82,"")</f>
        <v/>
      </c>
      <c r="D83" s="48" t="str">
        <f t="shared" si="10"/>
        <v/>
      </c>
      <c r="E83" s="49" t="str">
        <f t="shared" si="7"/>
        <v/>
      </c>
      <c r="F83" s="64"/>
      <c r="G83" s="49" t="str">
        <f t="shared" ref="G83:G117" si="13">IF(ISNUMBER(E83),G82-E83,"")</f>
        <v/>
      </c>
      <c r="H83" s="67"/>
      <c r="I83" s="183" t="str">
        <f>IF(ISNUMBER(Daten!C82),Daten!D82,"")</f>
        <v/>
      </c>
      <c r="J83" s="50" t="str">
        <f t="shared" ref="J83:J117" si="14">IF(ISNUMBER(C83),(I83/$G$17),"")</f>
        <v/>
      </c>
      <c r="K83" s="18"/>
      <c r="L83" s="4" t="str">
        <f t="shared" ref="L83:L117" si="15">IF(ISNUMBER(J83),IF(J83&lt;1,LN(D83),"")," ")</f>
        <v xml:space="preserve"> </v>
      </c>
      <c r="M83" s="9" t="str">
        <f t="shared" ref="M83:M117" si="16">IF(ISNUMBER(J83),IF(J83&lt;1,LN(LN(1/(1-J83))),""),"")</f>
        <v/>
      </c>
      <c r="N83" t="str">
        <f t="shared" si="12"/>
        <v/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8"/>
      <c r="AH83" s="17"/>
      <c r="AI83" s="13"/>
      <c r="AJ83" s="13"/>
      <c r="AK83" s="14"/>
      <c r="AL83" s="14"/>
      <c r="AM83" s="15"/>
      <c r="AN83" s="3"/>
      <c r="AO83" s="15"/>
    </row>
    <row r="84" spans="2:41" x14ac:dyDescent="0.2">
      <c r="B84" s="47">
        <f t="shared" si="11"/>
        <v>67</v>
      </c>
      <c r="C84" s="48" t="str">
        <f>IF(ISNUMBER(Daten!B83),Daten!B83,"")</f>
        <v/>
      </c>
      <c r="D84" s="48" t="str">
        <f t="shared" si="10"/>
        <v/>
      </c>
      <c r="E84" s="49" t="str">
        <f t="shared" ref="E84:E117" si="17">IF(ISNUMBER(I84),I84-I83,"")</f>
        <v/>
      </c>
      <c r="F84" s="64"/>
      <c r="G84" s="49" t="str">
        <f t="shared" si="13"/>
        <v/>
      </c>
      <c r="H84" s="67"/>
      <c r="I84" s="183" t="str">
        <f>IF(ISNUMBER(Daten!C83),Daten!D83,"")</f>
        <v/>
      </c>
      <c r="J84" s="50" t="str">
        <f t="shared" si="14"/>
        <v/>
      </c>
      <c r="K84" s="18"/>
      <c r="L84" s="4" t="str">
        <f t="shared" si="15"/>
        <v xml:space="preserve"> </v>
      </c>
      <c r="M84" s="9" t="str">
        <f t="shared" si="16"/>
        <v/>
      </c>
      <c r="N84" t="str">
        <f t="shared" si="12"/>
        <v/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8"/>
      <c r="AH84" s="17"/>
      <c r="AI84" s="13"/>
      <c r="AJ84" s="13"/>
      <c r="AK84" s="14"/>
      <c r="AL84" s="14"/>
      <c r="AM84" s="15"/>
      <c r="AN84" s="3"/>
      <c r="AO84" s="15"/>
    </row>
    <row r="85" spans="2:41" x14ac:dyDescent="0.2">
      <c r="B85" s="47">
        <f t="shared" si="11"/>
        <v>68</v>
      </c>
      <c r="C85" s="48" t="str">
        <f>IF(ISNUMBER(Daten!B84),Daten!B84,"")</f>
        <v/>
      </c>
      <c r="D85" s="48" t="str">
        <f t="shared" ref="D85:D116" si="18">IF(ISNUMBER(C85),C85-D$17,"")</f>
        <v/>
      </c>
      <c r="E85" s="49" t="str">
        <f t="shared" si="17"/>
        <v/>
      </c>
      <c r="F85" s="64"/>
      <c r="G85" s="49" t="str">
        <f t="shared" si="13"/>
        <v/>
      </c>
      <c r="H85" s="67"/>
      <c r="I85" s="183" t="str">
        <f>IF(ISNUMBER(Daten!C84),Daten!D84,"")</f>
        <v/>
      </c>
      <c r="J85" s="50" t="str">
        <f t="shared" si="14"/>
        <v/>
      </c>
      <c r="K85" s="18"/>
      <c r="L85" s="4" t="str">
        <f t="shared" si="15"/>
        <v xml:space="preserve"> </v>
      </c>
      <c r="M85" s="9" t="str">
        <f t="shared" si="16"/>
        <v/>
      </c>
      <c r="N85" t="str">
        <f t="shared" si="12"/>
        <v/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8"/>
      <c r="AH85" s="17"/>
      <c r="AI85" s="13"/>
      <c r="AJ85" s="13"/>
      <c r="AK85" s="14"/>
      <c r="AL85" s="14"/>
      <c r="AM85" s="15"/>
      <c r="AN85" s="3"/>
      <c r="AO85" s="15"/>
    </row>
    <row r="86" spans="2:41" x14ac:dyDescent="0.2">
      <c r="B86" s="47">
        <f t="shared" si="11"/>
        <v>69</v>
      </c>
      <c r="C86" s="48" t="str">
        <f>IF(ISNUMBER(Daten!B85),Daten!B85,"")</f>
        <v/>
      </c>
      <c r="D86" s="48" t="str">
        <f t="shared" si="18"/>
        <v/>
      </c>
      <c r="E86" s="49" t="str">
        <f t="shared" si="17"/>
        <v/>
      </c>
      <c r="F86" s="64"/>
      <c r="G86" s="49" t="str">
        <f t="shared" si="13"/>
        <v/>
      </c>
      <c r="H86" s="67"/>
      <c r="I86" s="183" t="str">
        <f>IF(ISNUMBER(Daten!C85),Daten!D85,"")</f>
        <v/>
      </c>
      <c r="J86" s="50" t="str">
        <f t="shared" si="14"/>
        <v/>
      </c>
      <c r="K86" s="18"/>
      <c r="L86" s="4" t="str">
        <f t="shared" si="15"/>
        <v xml:space="preserve"> </v>
      </c>
      <c r="M86" s="9" t="str">
        <f t="shared" si="16"/>
        <v/>
      </c>
      <c r="N86" t="str">
        <f t="shared" si="12"/>
        <v/>
      </c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8"/>
      <c r="AH86" s="17"/>
      <c r="AI86" s="13"/>
      <c r="AJ86" s="13"/>
      <c r="AK86" s="14"/>
      <c r="AL86" s="14"/>
      <c r="AM86" s="15"/>
      <c r="AN86" s="3"/>
      <c r="AO86" s="15"/>
    </row>
    <row r="87" spans="2:41" x14ac:dyDescent="0.2">
      <c r="B87" s="47">
        <f t="shared" si="11"/>
        <v>70</v>
      </c>
      <c r="C87" s="48" t="str">
        <f>IF(ISNUMBER(Daten!B86),Daten!B86,"")</f>
        <v/>
      </c>
      <c r="D87" s="48" t="str">
        <f t="shared" si="18"/>
        <v/>
      </c>
      <c r="E87" s="49" t="str">
        <f t="shared" si="17"/>
        <v/>
      </c>
      <c r="F87" s="64"/>
      <c r="G87" s="49" t="str">
        <f t="shared" si="13"/>
        <v/>
      </c>
      <c r="H87" s="67"/>
      <c r="I87" s="183" t="str">
        <f>IF(ISNUMBER(Daten!C86),Daten!D86,"")</f>
        <v/>
      </c>
      <c r="J87" s="50" t="str">
        <f t="shared" si="14"/>
        <v/>
      </c>
      <c r="K87" s="18"/>
      <c r="L87" s="4" t="str">
        <f t="shared" si="15"/>
        <v xml:space="preserve"> </v>
      </c>
      <c r="M87" s="9" t="str">
        <f t="shared" si="16"/>
        <v/>
      </c>
      <c r="N87" t="str">
        <f t="shared" si="12"/>
        <v/>
      </c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8"/>
      <c r="AH87" s="17"/>
      <c r="AI87" s="13"/>
      <c r="AJ87" s="13"/>
      <c r="AK87" s="14"/>
      <c r="AL87" s="14"/>
      <c r="AM87" s="15"/>
      <c r="AN87" s="3"/>
      <c r="AO87" s="15"/>
    </row>
    <row r="88" spans="2:41" x14ac:dyDescent="0.2">
      <c r="B88" s="47">
        <f t="shared" si="11"/>
        <v>71</v>
      </c>
      <c r="C88" s="48" t="str">
        <f>IF(ISNUMBER(Daten!B87),Daten!B87,"")</f>
        <v/>
      </c>
      <c r="D88" s="48" t="str">
        <f t="shared" si="18"/>
        <v/>
      </c>
      <c r="E88" s="49" t="str">
        <f t="shared" si="17"/>
        <v/>
      </c>
      <c r="F88" s="64"/>
      <c r="G88" s="49" t="str">
        <f t="shared" si="13"/>
        <v/>
      </c>
      <c r="H88" s="67"/>
      <c r="I88" s="183" t="str">
        <f>IF(ISNUMBER(Daten!C87),Daten!D87,"")</f>
        <v/>
      </c>
      <c r="J88" s="50" t="str">
        <f t="shared" si="14"/>
        <v/>
      </c>
      <c r="K88" s="18"/>
      <c r="L88" s="4" t="str">
        <f t="shared" si="15"/>
        <v xml:space="preserve"> </v>
      </c>
      <c r="M88" s="9" t="str">
        <f t="shared" si="16"/>
        <v/>
      </c>
      <c r="N88" t="str">
        <f t="shared" si="12"/>
        <v/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8"/>
      <c r="AH88" s="17"/>
      <c r="AI88" s="13"/>
      <c r="AJ88" s="13"/>
      <c r="AK88" s="14"/>
      <c r="AL88" s="14"/>
      <c r="AM88" s="15"/>
      <c r="AN88" s="3"/>
      <c r="AO88" s="15"/>
    </row>
    <row r="89" spans="2:41" x14ac:dyDescent="0.2">
      <c r="B89" s="47">
        <f t="shared" si="11"/>
        <v>72</v>
      </c>
      <c r="C89" s="48" t="str">
        <f>IF(ISNUMBER(Daten!B88),Daten!B88,"")</f>
        <v/>
      </c>
      <c r="D89" s="48" t="str">
        <f t="shared" si="18"/>
        <v/>
      </c>
      <c r="E89" s="49" t="str">
        <f t="shared" si="17"/>
        <v/>
      </c>
      <c r="F89" s="64"/>
      <c r="G89" s="49" t="str">
        <f t="shared" si="13"/>
        <v/>
      </c>
      <c r="H89" s="67"/>
      <c r="I89" s="183" t="str">
        <f>IF(ISNUMBER(Daten!C88),Daten!D88,"")</f>
        <v/>
      </c>
      <c r="J89" s="50" t="str">
        <f t="shared" si="14"/>
        <v/>
      </c>
      <c r="K89" s="18"/>
      <c r="L89" s="4" t="str">
        <f t="shared" si="15"/>
        <v xml:space="preserve"> </v>
      </c>
      <c r="M89" s="9" t="str">
        <f t="shared" si="16"/>
        <v/>
      </c>
      <c r="N89" t="str">
        <f t="shared" si="12"/>
        <v/>
      </c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8"/>
      <c r="AH89" s="17"/>
      <c r="AI89" s="13"/>
      <c r="AJ89" s="13"/>
      <c r="AK89" s="14"/>
      <c r="AL89" s="14"/>
      <c r="AM89" s="15"/>
      <c r="AN89" s="3"/>
      <c r="AO89" s="15"/>
    </row>
    <row r="90" spans="2:41" x14ac:dyDescent="0.2">
      <c r="B90" s="47">
        <f t="shared" si="11"/>
        <v>73</v>
      </c>
      <c r="C90" s="48" t="str">
        <f>IF(ISNUMBER(Daten!B89),Daten!B89,"")</f>
        <v/>
      </c>
      <c r="D90" s="48" t="str">
        <f t="shared" si="18"/>
        <v/>
      </c>
      <c r="E90" s="49" t="str">
        <f t="shared" si="17"/>
        <v/>
      </c>
      <c r="F90" s="64"/>
      <c r="G90" s="49" t="str">
        <f t="shared" si="13"/>
        <v/>
      </c>
      <c r="H90" s="67"/>
      <c r="I90" s="183" t="str">
        <f>IF(ISNUMBER(Daten!C89),Daten!D89,"")</f>
        <v/>
      </c>
      <c r="J90" s="50" t="str">
        <f t="shared" si="14"/>
        <v/>
      </c>
      <c r="K90" s="18"/>
      <c r="L90" s="4" t="str">
        <f t="shared" si="15"/>
        <v xml:space="preserve"> </v>
      </c>
      <c r="M90" s="9" t="str">
        <f t="shared" si="16"/>
        <v/>
      </c>
      <c r="N90" t="str">
        <f t="shared" si="12"/>
        <v/>
      </c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8"/>
      <c r="AH90" s="17"/>
      <c r="AI90" s="13"/>
      <c r="AJ90" s="13"/>
      <c r="AK90" s="14"/>
      <c r="AL90" s="14"/>
      <c r="AM90" s="15"/>
      <c r="AN90" s="3"/>
      <c r="AO90" s="15"/>
    </row>
    <row r="91" spans="2:41" x14ac:dyDescent="0.2">
      <c r="B91" s="47">
        <f t="shared" si="11"/>
        <v>74</v>
      </c>
      <c r="C91" s="48" t="str">
        <f>IF(ISNUMBER(Daten!B90),Daten!B90,"")</f>
        <v/>
      </c>
      <c r="D91" s="48" t="str">
        <f t="shared" si="18"/>
        <v/>
      </c>
      <c r="E91" s="49" t="str">
        <f t="shared" si="17"/>
        <v/>
      </c>
      <c r="F91" s="64"/>
      <c r="G91" s="49" t="str">
        <f t="shared" si="13"/>
        <v/>
      </c>
      <c r="H91" s="67"/>
      <c r="I91" s="183" t="str">
        <f>IF(ISNUMBER(Daten!C90),Daten!D90,"")</f>
        <v/>
      </c>
      <c r="J91" s="50" t="str">
        <f t="shared" si="14"/>
        <v/>
      </c>
      <c r="K91" s="18"/>
      <c r="L91" s="4" t="str">
        <f t="shared" si="15"/>
        <v xml:space="preserve"> </v>
      </c>
      <c r="M91" s="9" t="str">
        <f t="shared" si="16"/>
        <v/>
      </c>
      <c r="N91" t="str">
        <f t="shared" si="12"/>
        <v/>
      </c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8"/>
      <c r="AH91" s="17"/>
      <c r="AI91" s="13"/>
      <c r="AJ91" s="13"/>
      <c r="AK91" s="14"/>
      <c r="AL91" s="14"/>
      <c r="AM91" s="15"/>
      <c r="AN91" s="3"/>
      <c r="AO91" s="15"/>
    </row>
    <row r="92" spans="2:41" x14ac:dyDescent="0.2">
      <c r="B92" s="47">
        <f t="shared" si="11"/>
        <v>75</v>
      </c>
      <c r="C92" s="48" t="str">
        <f>IF(ISNUMBER(Daten!B91),Daten!B91,"")</f>
        <v/>
      </c>
      <c r="D92" s="48" t="str">
        <f t="shared" si="18"/>
        <v/>
      </c>
      <c r="E92" s="49" t="str">
        <f t="shared" si="17"/>
        <v/>
      </c>
      <c r="F92" s="64"/>
      <c r="G92" s="49" t="str">
        <f t="shared" si="13"/>
        <v/>
      </c>
      <c r="H92" s="67"/>
      <c r="I92" s="183" t="str">
        <f>IF(ISNUMBER(Daten!C91),Daten!D91,"")</f>
        <v/>
      </c>
      <c r="J92" s="50" t="str">
        <f t="shared" si="14"/>
        <v/>
      </c>
      <c r="K92" s="18"/>
      <c r="L92" s="4" t="str">
        <f t="shared" si="15"/>
        <v xml:space="preserve"> </v>
      </c>
      <c r="M92" s="9" t="str">
        <f t="shared" si="16"/>
        <v/>
      </c>
      <c r="N92" t="str">
        <f t="shared" si="12"/>
        <v/>
      </c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8"/>
      <c r="AH92" s="17"/>
      <c r="AI92" s="13"/>
      <c r="AJ92" s="13"/>
      <c r="AK92" s="14"/>
      <c r="AL92" s="14"/>
      <c r="AM92" s="15"/>
      <c r="AN92" s="3"/>
      <c r="AO92" s="15"/>
    </row>
    <row r="93" spans="2:41" x14ac:dyDescent="0.2">
      <c r="B93" s="47">
        <f t="shared" si="11"/>
        <v>76</v>
      </c>
      <c r="C93" s="48" t="str">
        <f>IF(ISNUMBER(Daten!B92),Daten!B92,"")</f>
        <v/>
      </c>
      <c r="D93" s="48" t="str">
        <f t="shared" si="18"/>
        <v/>
      </c>
      <c r="E93" s="49" t="str">
        <f t="shared" si="17"/>
        <v/>
      </c>
      <c r="F93" s="64"/>
      <c r="G93" s="49" t="str">
        <f t="shared" si="13"/>
        <v/>
      </c>
      <c r="H93" s="67"/>
      <c r="I93" s="183" t="str">
        <f>IF(ISNUMBER(Daten!C92),Daten!D92,"")</f>
        <v/>
      </c>
      <c r="J93" s="50" t="str">
        <f t="shared" si="14"/>
        <v/>
      </c>
      <c r="K93" s="18"/>
      <c r="L93" s="4" t="str">
        <f t="shared" si="15"/>
        <v xml:space="preserve"> </v>
      </c>
      <c r="M93" s="9" t="str">
        <f t="shared" si="16"/>
        <v/>
      </c>
      <c r="N93" t="str">
        <f t="shared" si="12"/>
        <v/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8"/>
      <c r="AH93" s="17"/>
      <c r="AI93" s="13"/>
      <c r="AJ93" s="13"/>
      <c r="AK93" s="14"/>
      <c r="AL93" s="14"/>
      <c r="AM93" s="15"/>
      <c r="AN93" s="3"/>
      <c r="AO93" s="15"/>
    </row>
    <row r="94" spans="2:41" x14ac:dyDescent="0.2">
      <c r="B94" s="47">
        <f t="shared" si="11"/>
        <v>77</v>
      </c>
      <c r="C94" s="48" t="str">
        <f>IF(ISNUMBER(Daten!B93),Daten!B93,"")</f>
        <v/>
      </c>
      <c r="D94" s="48" t="str">
        <f t="shared" si="18"/>
        <v/>
      </c>
      <c r="E94" s="49" t="str">
        <f t="shared" si="17"/>
        <v/>
      </c>
      <c r="F94" s="64"/>
      <c r="G94" s="49" t="str">
        <f t="shared" si="13"/>
        <v/>
      </c>
      <c r="H94" s="67"/>
      <c r="I94" s="183" t="str">
        <f>IF(ISNUMBER(Daten!C93),Daten!D93,"")</f>
        <v/>
      </c>
      <c r="J94" s="50" t="str">
        <f t="shared" si="14"/>
        <v/>
      </c>
      <c r="K94" s="18"/>
      <c r="L94" s="4" t="str">
        <f t="shared" si="15"/>
        <v xml:space="preserve"> </v>
      </c>
      <c r="M94" s="9" t="str">
        <f t="shared" si="16"/>
        <v/>
      </c>
      <c r="N94" t="str">
        <f t="shared" si="12"/>
        <v/>
      </c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8"/>
      <c r="AH94" s="17"/>
      <c r="AI94" s="13"/>
      <c r="AJ94" s="13"/>
      <c r="AK94" s="14"/>
      <c r="AL94" s="14"/>
      <c r="AM94" s="15"/>
      <c r="AN94" s="3"/>
      <c r="AO94" s="15"/>
    </row>
    <row r="95" spans="2:41" x14ac:dyDescent="0.2">
      <c r="B95" s="47">
        <f t="shared" si="11"/>
        <v>78</v>
      </c>
      <c r="C95" s="48" t="str">
        <f>IF(ISNUMBER(Daten!B94),Daten!B94,"")</f>
        <v/>
      </c>
      <c r="D95" s="48" t="str">
        <f t="shared" si="18"/>
        <v/>
      </c>
      <c r="E95" s="49" t="str">
        <f t="shared" si="17"/>
        <v/>
      </c>
      <c r="F95" s="64"/>
      <c r="G95" s="49" t="str">
        <f t="shared" si="13"/>
        <v/>
      </c>
      <c r="H95" s="67"/>
      <c r="I95" s="183" t="str">
        <f>IF(ISNUMBER(Daten!C94),Daten!D94,"")</f>
        <v/>
      </c>
      <c r="J95" s="50" t="str">
        <f t="shared" si="14"/>
        <v/>
      </c>
      <c r="K95" s="18"/>
      <c r="L95" s="4" t="str">
        <f t="shared" si="15"/>
        <v xml:space="preserve"> </v>
      </c>
      <c r="M95" s="9" t="str">
        <f t="shared" si="16"/>
        <v/>
      </c>
      <c r="N95" t="str">
        <f t="shared" si="12"/>
        <v/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8"/>
      <c r="AH95" s="17"/>
      <c r="AI95" s="13"/>
      <c r="AJ95" s="13"/>
      <c r="AK95" s="14"/>
      <c r="AL95" s="14"/>
      <c r="AM95" s="15"/>
      <c r="AN95" s="3"/>
      <c r="AO95" s="15"/>
    </row>
    <row r="96" spans="2:41" x14ac:dyDescent="0.2">
      <c r="B96" s="47">
        <f t="shared" si="11"/>
        <v>79</v>
      </c>
      <c r="C96" s="48" t="str">
        <f>IF(ISNUMBER(Daten!B95),Daten!B95,"")</f>
        <v/>
      </c>
      <c r="D96" s="48" t="str">
        <f t="shared" si="18"/>
        <v/>
      </c>
      <c r="E96" s="49" t="str">
        <f t="shared" si="17"/>
        <v/>
      </c>
      <c r="F96" s="64"/>
      <c r="G96" s="49" t="str">
        <f t="shared" si="13"/>
        <v/>
      </c>
      <c r="H96" s="67"/>
      <c r="I96" s="183" t="str">
        <f>IF(ISNUMBER(Daten!C95),Daten!D95,"")</f>
        <v/>
      </c>
      <c r="J96" s="50" t="str">
        <f t="shared" si="14"/>
        <v/>
      </c>
      <c r="K96" s="18"/>
      <c r="L96" s="4" t="str">
        <f t="shared" si="15"/>
        <v xml:space="preserve"> </v>
      </c>
      <c r="M96" s="9" t="str">
        <f t="shared" si="16"/>
        <v/>
      </c>
      <c r="N96" t="str">
        <f t="shared" si="12"/>
        <v/>
      </c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8"/>
      <c r="AH96" s="17"/>
      <c r="AI96" s="13"/>
      <c r="AJ96" s="13"/>
      <c r="AK96" s="14"/>
      <c r="AL96" s="14"/>
      <c r="AM96" s="15"/>
      <c r="AN96" s="3"/>
      <c r="AO96" s="15"/>
    </row>
    <row r="97" spans="2:41" x14ac:dyDescent="0.2">
      <c r="B97" s="47">
        <f t="shared" si="11"/>
        <v>80</v>
      </c>
      <c r="C97" s="48" t="str">
        <f>IF(ISNUMBER(Daten!B96),Daten!B96,"")</f>
        <v/>
      </c>
      <c r="D97" s="48" t="str">
        <f t="shared" si="18"/>
        <v/>
      </c>
      <c r="E97" s="49" t="str">
        <f t="shared" si="17"/>
        <v/>
      </c>
      <c r="F97" s="64"/>
      <c r="G97" s="49" t="str">
        <f t="shared" si="13"/>
        <v/>
      </c>
      <c r="H97" s="67"/>
      <c r="I97" s="183" t="str">
        <f>IF(ISNUMBER(Daten!C96),Daten!D96,"")</f>
        <v/>
      </c>
      <c r="J97" s="50" t="str">
        <f t="shared" si="14"/>
        <v/>
      </c>
      <c r="K97" s="18"/>
      <c r="L97" s="4" t="str">
        <f t="shared" si="15"/>
        <v xml:space="preserve"> </v>
      </c>
      <c r="M97" s="9" t="str">
        <f t="shared" si="16"/>
        <v/>
      </c>
      <c r="N97" t="str">
        <f t="shared" si="12"/>
        <v/>
      </c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8"/>
      <c r="AH97" s="17"/>
      <c r="AI97" s="13"/>
      <c r="AJ97" s="13"/>
      <c r="AK97" s="14"/>
      <c r="AL97" s="14"/>
      <c r="AM97" s="15"/>
      <c r="AN97" s="3"/>
      <c r="AO97" s="15"/>
    </row>
    <row r="98" spans="2:41" x14ac:dyDescent="0.2">
      <c r="B98" s="47">
        <f t="shared" si="11"/>
        <v>81</v>
      </c>
      <c r="C98" s="48" t="str">
        <f>IF(ISNUMBER(Daten!B97),Daten!B97,"")</f>
        <v/>
      </c>
      <c r="D98" s="48" t="str">
        <f t="shared" si="18"/>
        <v/>
      </c>
      <c r="E98" s="49" t="str">
        <f t="shared" si="17"/>
        <v/>
      </c>
      <c r="F98" s="64"/>
      <c r="G98" s="49" t="str">
        <f t="shared" si="13"/>
        <v/>
      </c>
      <c r="H98" s="67"/>
      <c r="I98" s="183" t="str">
        <f>IF(ISNUMBER(Daten!C97),Daten!D97,"")</f>
        <v/>
      </c>
      <c r="J98" s="50" t="str">
        <f t="shared" si="14"/>
        <v/>
      </c>
      <c r="K98" s="18"/>
      <c r="L98" s="4" t="str">
        <f t="shared" si="15"/>
        <v xml:space="preserve"> </v>
      </c>
      <c r="M98" s="9" t="str">
        <f t="shared" si="16"/>
        <v/>
      </c>
      <c r="N98" t="str">
        <f t="shared" si="12"/>
        <v/>
      </c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8"/>
      <c r="AH98" s="17"/>
      <c r="AI98" s="13"/>
      <c r="AJ98" s="13"/>
      <c r="AK98" s="14"/>
      <c r="AL98" s="14"/>
      <c r="AM98" s="15"/>
      <c r="AN98" s="3"/>
      <c r="AO98" s="15"/>
    </row>
    <row r="99" spans="2:41" x14ac:dyDescent="0.2">
      <c r="B99" s="47">
        <f t="shared" si="11"/>
        <v>82</v>
      </c>
      <c r="C99" s="48" t="str">
        <f>IF(ISNUMBER(Daten!B98),Daten!B98,"")</f>
        <v/>
      </c>
      <c r="D99" s="48" t="str">
        <f t="shared" si="18"/>
        <v/>
      </c>
      <c r="E99" s="49" t="str">
        <f t="shared" si="17"/>
        <v/>
      </c>
      <c r="F99" s="64"/>
      <c r="G99" s="49" t="str">
        <f t="shared" si="13"/>
        <v/>
      </c>
      <c r="H99" s="67"/>
      <c r="I99" s="183" t="str">
        <f>IF(ISNUMBER(Daten!C98),Daten!D98,"")</f>
        <v/>
      </c>
      <c r="J99" s="50" t="str">
        <f t="shared" si="14"/>
        <v/>
      </c>
      <c r="K99" s="18"/>
      <c r="L99" s="4" t="str">
        <f t="shared" si="15"/>
        <v xml:space="preserve"> </v>
      </c>
      <c r="M99" s="9" t="str">
        <f t="shared" si="16"/>
        <v/>
      </c>
      <c r="N99" t="str">
        <f t="shared" si="12"/>
        <v/>
      </c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8"/>
      <c r="AH99" s="17"/>
      <c r="AI99" s="13"/>
      <c r="AJ99" s="13"/>
      <c r="AK99" s="14"/>
      <c r="AL99" s="14"/>
      <c r="AM99" s="15"/>
      <c r="AN99" s="3"/>
      <c r="AO99" s="15"/>
    </row>
    <row r="100" spans="2:41" x14ac:dyDescent="0.2">
      <c r="B100" s="47">
        <f t="shared" si="11"/>
        <v>83</v>
      </c>
      <c r="C100" s="48" t="str">
        <f>IF(ISNUMBER(Daten!B99),Daten!B99,"")</f>
        <v/>
      </c>
      <c r="D100" s="48" t="str">
        <f t="shared" si="18"/>
        <v/>
      </c>
      <c r="E100" s="49" t="str">
        <f t="shared" si="17"/>
        <v/>
      </c>
      <c r="F100" s="64"/>
      <c r="G100" s="49" t="str">
        <f t="shared" si="13"/>
        <v/>
      </c>
      <c r="H100" s="67"/>
      <c r="I100" s="183" t="str">
        <f>IF(ISNUMBER(Daten!C99),Daten!D99,"")</f>
        <v/>
      </c>
      <c r="J100" s="50" t="str">
        <f t="shared" si="14"/>
        <v/>
      </c>
      <c r="K100" s="18"/>
      <c r="L100" s="4" t="str">
        <f t="shared" si="15"/>
        <v xml:space="preserve"> </v>
      </c>
      <c r="M100" s="9" t="str">
        <f t="shared" si="16"/>
        <v/>
      </c>
      <c r="N100" t="str">
        <f t="shared" si="12"/>
        <v/>
      </c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8"/>
      <c r="AH100" s="17"/>
      <c r="AI100" s="13"/>
      <c r="AJ100" s="13"/>
      <c r="AK100" s="14"/>
      <c r="AL100" s="14"/>
      <c r="AM100" s="15"/>
      <c r="AN100" s="3"/>
      <c r="AO100" s="15"/>
    </row>
    <row r="101" spans="2:41" x14ac:dyDescent="0.2">
      <c r="B101" s="47">
        <f t="shared" si="11"/>
        <v>84</v>
      </c>
      <c r="C101" s="48" t="str">
        <f>IF(ISNUMBER(Daten!B100),Daten!B100,"")</f>
        <v/>
      </c>
      <c r="D101" s="48" t="str">
        <f t="shared" si="18"/>
        <v/>
      </c>
      <c r="E101" s="49" t="str">
        <f t="shared" si="17"/>
        <v/>
      </c>
      <c r="F101" s="64"/>
      <c r="G101" s="49" t="str">
        <f t="shared" si="13"/>
        <v/>
      </c>
      <c r="H101" s="67"/>
      <c r="I101" s="183" t="str">
        <f>IF(ISNUMBER(Daten!C100),Daten!D100,"")</f>
        <v/>
      </c>
      <c r="J101" s="50" t="str">
        <f t="shared" si="14"/>
        <v/>
      </c>
      <c r="K101" s="18"/>
      <c r="L101" s="4" t="str">
        <f t="shared" si="15"/>
        <v xml:space="preserve"> </v>
      </c>
      <c r="M101" s="9" t="str">
        <f t="shared" si="16"/>
        <v/>
      </c>
      <c r="N101" t="str">
        <f t="shared" si="12"/>
        <v/>
      </c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8"/>
      <c r="AH101" s="17"/>
      <c r="AI101" s="13"/>
      <c r="AJ101" s="13"/>
      <c r="AK101" s="14"/>
      <c r="AL101" s="14"/>
      <c r="AM101" s="15"/>
      <c r="AN101" s="3"/>
      <c r="AO101" s="15"/>
    </row>
    <row r="102" spans="2:41" x14ac:dyDescent="0.2">
      <c r="B102" s="47">
        <f t="shared" si="11"/>
        <v>85</v>
      </c>
      <c r="C102" s="48" t="str">
        <f>IF(ISNUMBER(Daten!B101),Daten!B101,"")</f>
        <v/>
      </c>
      <c r="D102" s="48" t="str">
        <f t="shared" si="18"/>
        <v/>
      </c>
      <c r="E102" s="49" t="str">
        <f t="shared" si="17"/>
        <v/>
      </c>
      <c r="F102" s="64"/>
      <c r="G102" s="49" t="str">
        <f t="shared" si="13"/>
        <v/>
      </c>
      <c r="H102" s="67"/>
      <c r="I102" s="183" t="str">
        <f>IF(ISNUMBER(Daten!C101),Daten!D101,"")</f>
        <v/>
      </c>
      <c r="J102" s="50" t="str">
        <f t="shared" si="14"/>
        <v/>
      </c>
      <c r="K102" s="18"/>
      <c r="L102" s="4" t="str">
        <f t="shared" si="15"/>
        <v xml:space="preserve"> </v>
      </c>
      <c r="M102" s="9" t="str">
        <f t="shared" si="16"/>
        <v/>
      </c>
      <c r="N102" t="str">
        <f t="shared" si="12"/>
        <v/>
      </c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8"/>
      <c r="AH102" s="17"/>
      <c r="AI102" s="13"/>
      <c r="AJ102" s="13"/>
      <c r="AK102" s="14"/>
      <c r="AL102" s="14"/>
      <c r="AM102" s="15"/>
      <c r="AN102" s="3"/>
      <c r="AO102" s="15"/>
    </row>
    <row r="103" spans="2:41" x14ac:dyDescent="0.2">
      <c r="B103" s="47">
        <f t="shared" si="11"/>
        <v>86</v>
      </c>
      <c r="C103" s="48" t="str">
        <f>IF(ISNUMBER(Daten!B102),Daten!B102,"")</f>
        <v/>
      </c>
      <c r="D103" s="48" t="str">
        <f t="shared" si="18"/>
        <v/>
      </c>
      <c r="E103" s="49" t="str">
        <f t="shared" si="17"/>
        <v/>
      </c>
      <c r="F103" s="64"/>
      <c r="G103" s="49" t="str">
        <f t="shared" si="13"/>
        <v/>
      </c>
      <c r="H103" s="67"/>
      <c r="I103" s="183" t="str">
        <f>IF(ISNUMBER(Daten!C102),Daten!D102,"")</f>
        <v/>
      </c>
      <c r="J103" s="50" t="str">
        <f t="shared" si="14"/>
        <v/>
      </c>
      <c r="K103" s="18"/>
      <c r="L103" s="4" t="str">
        <f t="shared" si="15"/>
        <v xml:space="preserve"> </v>
      </c>
      <c r="M103" s="9" t="str">
        <f t="shared" si="16"/>
        <v/>
      </c>
      <c r="N103" t="str">
        <f t="shared" si="12"/>
        <v/>
      </c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8"/>
      <c r="AH103" s="17"/>
      <c r="AI103" s="13"/>
      <c r="AJ103" s="13"/>
      <c r="AK103" s="14"/>
      <c r="AL103" s="14"/>
      <c r="AM103" s="15"/>
      <c r="AN103" s="3"/>
      <c r="AO103" s="15"/>
    </row>
    <row r="104" spans="2:41" x14ac:dyDescent="0.2">
      <c r="B104" s="47">
        <f t="shared" si="11"/>
        <v>87</v>
      </c>
      <c r="C104" s="48" t="str">
        <f>IF(ISNUMBER(Daten!B103),Daten!B103,"")</f>
        <v/>
      </c>
      <c r="D104" s="48" t="str">
        <f t="shared" si="18"/>
        <v/>
      </c>
      <c r="E104" s="49" t="str">
        <f t="shared" si="17"/>
        <v/>
      </c>
      <c r="F104" s="64"/>
      <c r="G104" s="49" t="str">
        <f t="shared" si="13"/>
        <v/>
      </c>
      <c r="H104" s="67"/>
      <c r="I104" s="183" t="str">
        <f>IF(ISNUMBER(Daten!C103),Daten!D103,"")</f>
        <v/>
      </c>
      <c r="J104" s="50" t="str">
        <f t="shared" si="14"/>
        <v/>
      </c>
      <c r="K104" s="18"/>
      <c r="L104" s="4" t="str">
        <f t="shared" si="15"/>
        <v xml:space="preserve"> </v>
      </c>
      <c r="M104" s="9" t="str">
        <f t="shared" si="16"/>
        <v/>
      </c>
      <c r="N104" t="str">
        <f t="shared" si="12"/>
        <v/>
      </c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8"/>
      <c r="AH104" s="17"/>
      <c r="AI104" s="13"/>
      <c r="AJ104" s="13"/>
      <c r="AK104" s="14"/>
      <c r="AL104" s="14"/>
      <c r="AM104" s="15"/>
      <c r="AN104" s="3"/>
      <c r="AO104" s="15"/>
    </row>
    <row r="105" spans="2:41" x14ac:dyDescent="0.2">
      <c r="B105" s="47">
        <f t="shared" si="11"/>
        <v>88</v>
      </c>
      <c r="C105" s="48" t="str">
        <f>IF(ISNUMBER(Daten!B104),Daten!B104,"")</f>
        <v/>
      </c>
      <c r="D105" s="48" t="str">
        <f t="shared" si="18"/>
        <v/>
      </c>
      <c r="E105" s="49" t="str">
        <f t="shared" si="17"/>
        <v/>
      </c>
      <c r="F105" s="64"/>
      <c r="G105" s="49" t="str">
        <f t="shared" si="13"/>
        <v/>
      </c>
      <c r="H105" s="67"/>
      <c r="I105" s="183" t="str">
        <f>IF(ISNUMBER(Daten!C104),Daten!D104,"")</f>
        <v/>
      </c>
      <c r="J105" s="50" t="str">
        <f t="shared" si="14"/>
        <v/>
      </c>
      <c r="K105" s="18"/>
      <c r="L105" s="4" t="str">
        <f t="shared" si="15"/>
        <v xml:space="preserve"> </v>
      </c>
      <c r="M105" s="9" t="str">
        <f t="shared" si="16"/>
        <v/>
      </c>
      <c r="N105" t="str">
        <f t="shared" si="12"/>
        <v/>
      </c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8"/>
      <c r="AH105" s="17"/>
      <c r="AI105" s="13"/>
      <c r="AJ105" s="13"/>
      <c r="AK105" s="14"/>
      <c r="AL105" s="14"/>
      <c r="AM105" s="15"/>
      <c r="AN105" s="3"/>
      <c r="AO105" s="15"/>
    </row>
    <row r="106" spans="2:41" x14ac:dyDescent="0.2">
      <c r="B106" s="47">
        <f t="shared" si="11"/>
        <v>89</v>
      </c>
      <c r="C106" s="48" t="str">
        <f>IF(ISNUMBER(Daten!B105),Daten!B105,"")</f>
        <v/>
      </c>
      <c r="D106" s="48" t="str">
        <f t="shared" si="18"/>
        <v/>
      </c>
      <c r="E106" s="49" t="str">
        <f t="shared" si="17"/>
        <v/>
      </c>
      <c r="F106" s="64"/>
      <c r="G106" s="49" t="str">
        <f t="shared" si="13"/>
        <v/>
      </c>
      <c r="H106" s="67"/>
      <c r="I106" s="183" t="str">
        <f>IF(ISNUMBER(Daten!C105),Daten!D105,"")</f>
        <v/>
      </c>
      <c r="J106" s="50" t="str">
        <f t="shared" si="14"/>
        <v/>
      </c>
      <c r="K106" s="18"/>
      <c r="L106" s="4" t="str">
        <f t="shared" si="15"/>
        <v xml:space="preserve"> </v>
      </c>
      <c r="M106" s="9" t="str">
        <f t="shared" si="16"/>
        <v/>
      </c>
      <c r="N106" t="str">
        <f t="shared" si="12"/>
        <v/>
      </c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8"/>
      <c r="AH106" s="17"/>
      <c r="AI106" s="13"/>
      <c r="AJ106" s="13"/>
      <c r="AK106" s="14"/>
      <c r="AL106" s="14"/>
      <c r="AM106" s="15"/>
      <c r="AN106" s="3"/>
      <c r="AO106" s="15"/>
    </row>
    <row r="107" spans="2:41" x14ac:dyDescent="0.2">
      <c r="B107" s="47">
        <f t="shared" si="11"/>
        <v>90</v>
      </c>
      <c r="C107" s="48" t="str">
        <f>IF(ISNUMBER(Daten!B106),Daten!B106,"")</f>
        <v/>
      </c>
      <c r="D107" s="48" t="str">
        <f t="shared" si="18"/>
        <v/>
      </c>
      <c r="E107" s="49" t="str">
        <f t="shared" si="17"/>
        <v/>
      </c>
      <c r="F107" s="64"/>
      <c r="G107" s="49" t="str">
        <f t="shared" si="13"/>
        <v/>
      </c>
      <c r="H107" s="67"/>
      <c r="I107" s="183" t="str">
        <f>IF(ISNUMBER(Daten!C106),Daten!D106,"")</f>
        <v/>
      </c>
      <c r="J107" s="50" t="str">
        <f t="shared" si="14"/>
        <v/>
      </c>
      <c r="K107" s="18"/>
      <c r="L107" s="4" t="str">
        <f t="shared" si="15"/>
        <v xml:space="preserve"> </v>
      </c>
      <c r="M107" s="9" t="str">
        <f t="shared" si="16"/>
        <v/>
      </c>
      <c r="N107" t="str">
        <f t="shared" si="12"/>
        <v/>
      </c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8"/>
      <c r="AH107" s="17"/>
      <c r="AI107" s="13"/>
      <c r="AJ107" s="13"/>
      <c r="AK107" s="14"/>
      <c r="AL107" s="14"/>
      <c r="AM107" s="15"/>
      <c r="AN107" s="3"/>
      <c r="AO107" s="15"/>
    </row>
    <row r="108" spans="2:41" x14ac:dyDescent="0.2">
      <c r="B108" s="47">
        <f t="shared" si="11"/>
        <v>91</v>
      </c>
      <c r="C108" s="48" t="str">
        <f>IF(ISNUMBER(Daten!B107),Daten!B107,"")</f>
        <v/>
      </c>
      <c r="D108" s="48" t="str">
        <f t="shared" si="18"/>
        <v/>
      </c>
      <c r="E108" s="49" t="str">
        <f t="shared" si="17"/>
        <v/>
      </c>
      <c r="F108" s="64"/>
      <c r="G108" s="49" t="str">
        <f t="shared" si="13"/>
        <v/>
      </c>
      <c r="H108" s="67"/>
      <c r="I108" s="183" t="str">
        <f>IF(ISNUMBER(Daten!C107),Daten!D107,"")</f>
        <v/>
      </c>
      <c r="J108" s="50" t="str">
        <f t="shared" si="14"/>
        <v/>
      </c>
      <c r="K108" s="18"/>
      <c r="L108" s="4" t="str">
        <f t="shared" si="15"/>
        <v xml:space="preserve"> </v>
      </c>
      <c r="M108" s="9" t="str">
        <f t="shared" si="16"/>
        <v/>
      </c>
      <c r="N108" t="str">
        <f t="shared" si="12"/>
        <v/>
      </c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8"/>
      <c r="AH108" s="17"/>
      <c r="AI108" s="13"/>
      <c r="AJ108" s="13"/>
      <c r="AK108" s="14"/>
      <c r="AL108" s="14"/>
      <c r="AM108" s="15"/>
      <c r="AN108" s="3"/>
      <c r="AO108" s="15"/>
    </row>
    <row r="109" spans="2:41" x14ac:dyDescent="0.2">
      <c r="B109" s="47">
        <f t="shared" si="11"/>
        <v>92</v>
      </c>
      <c r="C109" s="48" t="str">
        <f>IF(ISNUMBER(Daten!B108),Daten!B108,"")</f>
        <v/>
      </c>
      <c r="D109" s="48" t="str">
        <f t="shared" si="18"/>
        <v/>
      </c>
      <c r="E109" s="49" t="str">
        <f t="shared" si="17"/>
        <v/>
      </c>
      <c r="F109" s="64"/>
      <c r="G109" s="49" t="str">
        <f t="shared" si="13"/>
        <v/>
      </c>
      <c r="H109" s="67"/>
      <c r="I109" s="183" t="str">
        <f>IF(ISNUMBER(Daten!C108),Daten!D108,"")</f>
        <v/>
      </c>
      <c r="J109" s="50" t="str">
        <f t="shared" si="14"/>
        <v/>
      </c>
      <c r="K109" s="18"/>
      <c r="L109" s="4" t="str">
        <f t="shared" si="15"/>
        <v xml:space="preserve"> </v>
      </c>
      <c r="M109" s="9" t="str">
        <f t="shared" si="16"/>
        <v/>
      </c>
      <c r="N109" t="str">
        <f t="shared" si="12"/>
        <v/>
      </c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8"/>
      <c r="AH109" s="17"/>
      <c r="AI109" s="13"/>
      <c r="AJ109" s="13"/>
      <c r="AK109" s="14"/>
      <c r="AL109" s="14"/>
      <c r="AM109" s="15"/>
      <c r="AN109" s="3"/>
      <c r="AO109" s="15"/>
    </row>
    <row r="110" spans="2:41" x14ac:dyDescent="0.2">
      <c r="B110" s="47">
        <f t="shared" si="11"/>
        <v>93</v>
      </c>
      <c r="C110" s="48" t="str">
        <f>IF(ISNUMBER(Daten!B109),Daten!B109,"")</f>
        <v/>
      </c>
      <c r="D110" s="48" t="str">
        <f t="shared" si="18"/>
        <v/>
      </c>
      <c r="E110" s="49" t="str">
        <f t="shared" si="17"/>
        <v/>
      </c>
      <c r="F110" s="64"/>
      <c r="G110" s="49" t="str">
        <f t="shared" si="13"/>
        <v/>
      </c>
      <c r="H110" s="67"/>
      <c r="I110" s="183" t="str">
        <f>IF(ISNUMBER(Daten!C109),Daten!D109,"")</f>
        <v/>
      </c>
      <c r="J110" s="50" t="str">
        <f t="shared" si="14"/>
        <v/>
      </c>
      <c r="K110" s="18"/>
      <c r="L110" s="4" t="str">
        <f t="shared" si="15"/>
        <v xml:space="preserve"> </v>
      </c>
      <c r="M110" s="9" t="str">
        <f t="shared" si="16"/>
        <v/>
      </c>
      <c r="N110" t="str">
        <f t="shared" si="12"/>
        <v/>
      </c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8"/>
      <c r="AH110" s="17"/>
      <c r="AI110" s="13"/>
      <c r="AJ110" s="13"/>
      <c r="AK110" s="14"/>
      <c r="AL110" s="14"/>
      <c r="AM110" s="15"/>
      <c r="AN110" s="3"/>
      <c r="AO110" s="15"/>
    </row>
    <row r="111" spans="2:41" x14ac:dyDescent="0.2">
      <c r="B111" s="47">
        <f t="shared" si="11"/>
        <v>94</v>
      </c>
      <c r="C111" s="48" t="str">
        <f>IF(ISNUMBER(Daten!B110),Daten!B110,"")</f>
        <v/>
      </c>
      <c r="D111" s="48" t="str">
        <f t="shared" si="18"/>
        <v/>
      </c>
      <c r="E111" s="49" t="str">
        <f t="shared" si="17"/>
        <v/>
      </c>
      <c r="F111" s="64"/>
      <c r="G111" s="49" t="str">
        <f t="shared" si="13"/>
        <v/>
      </c>
      <c r="H111" s="67"/>
      <c r="I111" s="183" t="str">
        <f>IF(ISNUMBER(Daten!C110),Daten!D110,"")</f>
        <v/>
      </c>
      <c r="J111" s="50" t="str">
        <f t="shared" si="14"/>
        <v/>
      </c>
      <c r="K111" s="18"/>
      <c r="L111" s="4" t="str">
        <f t="shared" si="15"/>
        <v xml:space="preserve"> </v>
      </c>
      <c r="M111" s="9" t="str">
        <f t="shared" si="16"/>
        <v/>
      </c>
      <c r="N111" t="str">
        <f t="shared" si="12"/>
        <v/>
      </c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8"/>
      <c r="AH111" s="17"/>
      <c r="AI111" s="13"/>
      <c r="AJ111" s="13"/>
      <c r="AK111" s="14"/>
      <c r="AL111" s="14"/>
      <c r="AM111" s="15"/>
      <c r="AN111" s="3"/>
      <c r="AO111" s="15"/>
    </row>
    <row r="112" spans="2:41" x14ac:dyDescent="0.2">
      <c r="B112" s="47">
        <f t="shared" si="11"/>
        <v>95</v>
      </c>
      <c r="C112" s="48" t="str">
        <f>IF(ISNUMBER(Daten!B111),Daten!B111,"")</f>
        <v/>
      </c>
      <c r="D112" s="48" t="str">
        <f t="shared" si="18"/>
        <v/>
      </c>
      <c r="E112" s="49" t="str">
        <f t="shared" si="17"/>
        <v/>
      </c>
      <c r="F112" s="64"/>
      <c r="G112" s="49" t="str">
        <f t="shared" si="13"/>
        <v/>
      </c>
      <c r="H112" s="67"/>
      <c r="I112" s="183" t="str">
        <f>IF(ISNUMBER(Daten!C111),Daten!D111,"")</f>
        <v/>
      </c>
      <c r="J112" s="50" t="str">
        <f t="shared" si="14"/>
        <v/>
      </c>
      <c r="K112" s="18"/>
      <c r="L112" s="4" t="str">
        <f t="shared" si="15"/>
        <v xml:space="preserve"> </v>
      </c>
      <c r="M112" s="9" t="str">
        <f t="shared" si="16"/>
        <v/>
      </c>
      <c r="N112" t="str">
        <f t="shared" si="12"/>
        <v/>
      </c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8"/>
      <c r="AH112" s="17"/>
      <c r="AI112" s="13"/>
      <c r="AJ112" s="13"/>
      <c r="AK112" s="14"/>
      <c r="AL112" s="14"/>
      <c r="AM112" s="15"/>
      <c r="AN112" s="3"/>
      <c r="AO112" s="15"/>
    </row>
    <row r="113" spans="2:41" x14ac:dyDescent="0.2">
      <c r="B113" s="47">
        <f t="shared" si="11"/>
        <v>96</v>
      </c>
      <c r="C113" s="48" t="str">
        <f>IF(ISNUMBER(Daten!B112),Daten!B112,"")</f>
        <v/>
      </c>
      <c r="D113" s="48" t="str">
        <f t="shared" si="18"/>
        <v/>
      </c>
      <c r="E113" s="49" t="str">
        <f t="shared" si="17"/>
        <v/>
      </c>
      <c r="F113" s="64"/>
      <c r="G113" s="49" t="str">
        <f t="shared" si="13"/>
        <v/>
      </c>
      <c r="H113" s="67"/>
      <c r="I113" s="183" t="str">
        <f>IF(ISNUMBER(Daten!C112),Daten!D112,"")</f>
        <v/>
      </c>
      <c r="J113" s="50" t="str">
        <f t="shared" si="14"/>
        <v/>
      </c>
      <c r="K113" s="18"/>
      <c r="L113" s="4" t="str">
        <f t="shared" si="15"/>
        <v xml:space="preserve"> </v>
      </c>
      <c r="M113" s="9" t="str">
        <f t="shared" si="16"/>
        <v/>
      </c>
      <c r="N113" t="str">
        <f t="shared" si="12"/>
        <v/>
      </c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8"/>
      <c r="AH113" s="17"/>
      <c r="AI113" s="13"/>
      <c r="AJ113" s="13"/>
      <c r="AK113" s="14"/>
      <c r="AL113" s="14"/>
      <c r="AM113" s="15"/>
      <c r="AN113" s="3"/>
      <c r="AO113" s="15"/>
    </row>
    <row r="114" spans="2:41" x14ac:dyDescent="0.2">
      <c r="B114" s="47">
        <f t="shared" si="11"/>
        <v>97</v>
      </c>
      <c r="C114" s="48" t="str">
        <f>IF(ISNUMBER(Daten!B113),Daten!B113,"")</f>
        <v/>
      </c>
      <c r="D114" s="48" t="str">
        <f t="shared" si="18"/>
        <v/>
      </c>
      <c r="E114" s="49" t="str">
        <f t="shared" si="17"/>
        <v/>
      </c>
      <c r="F114" s="64"/>
      <c r="G114" s="49" t="str">
        <f t="shared" si="13"/>
        <v/>
      </c>
      <c r="H114" s="67"/>
      <c r="I114" s="183" t="str">
        <f>IF(ISNUMBER(Daten!C113),Daten!D113,"")</f>
        <v/>
      </c>
      <c r="J114" s="50" t="str">
        <f t="shared" si="14"/>
        <v/>
      </c>
      <c r="K114" s="18"/>
      <c r="L114" s="4" t="str">
        <f t="shared" si="15"/>
        <v xml:space="preserve"> </v>
      </c>
      <c r="M114" s="9" t="str">
        <f t="shared" si="16"/>
        <v/>
      </c>
      <c r="N114" t="str">
        <f t="shared" si="12"/>
        <v/>
      </c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8"/>
      <c r="AH114" s="17"/>
      <c r="AI114" s="13"/>
      <c r="AJ114" s="13"/>
      <c r="AK114" s="14"/>
      <c r="AL114" s="14"/>
      <c r="AM114" s="15"/>
      <c r="AN114" s="3"/>
      <c r="AO114" s="15"/>
    </row>
    <row r="115" spans="2:41" x14ac:dyDescent="0.2">
      <c r="B115" s="47">
        <f t="shared" si="11"/>
        <v>98</v>
      </c>
      <c r="C115" s="48" t="str">
        <f>IF(ISNUMBER(Daten!B114),Daten!B114,"")</f>
        <v/>
      </c>
      <c r="D115" s="48" t="str">
        <f t="shared" si="18"/>
        <v/>
      </c>
      <c r="E115" s="49" t="str">
        <f t="shared" si="17"/>
        <v/>
      </c>
      <c r="F115" s="64"/>
      <c r="G115" s="49" t="str">
        <f t="shared" si="13"/>
        <v/>
      </c>
      <c r="H115" s="67"/>
      <c r="I115" s="183" t="str">
        <f>IF(ISNUMBER(Daten!C114),Daten!D114,"")</f>
        <v/>
      </c>
      <c r="J115" s="50" t="str">
        <f t="shared" si="14"/>
        <v/>
      </c>
      <c r="K115" s="18"/>
      <c r="L115" s="4" t="str">
        <f t="shared" si="15"/>
        <v xml:space="preserve"> </v>
      </c>
      <c r="M115" s="9" t="str">
        <f t="shared" si="16"/>
        <v/>
      </c>
      <c r="N115" t="str">
        <f t="shared" si="12"/>
        <v/>
      </c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8"/>
      <c r="AH115" s="17"/>
      <c r="AI115" s="13"/>
      <c r="AJ115" s="13"/>
      <c r="AK115" s="14"/>
      <c r="AL115" s="14"/>
      <c r="AM115" s="15"/>
      <c r="AN115" s="3"/>
      <c r="AO115" s="15"/>
    </row>
    <row r="116" spans="2:41" x14ac:dyDescent="0.2">
      <c r="B116" s="47">
        <f t="shared" si="11"/>
        <v>99</v>
      </c>
      <c r="C116" s="48" t="str">
        <f>IF(ISNUMBER(Daten!B115),Daten!B115,"")</f>
        <v/>
      </c>
      <c r="D116" s="48" t="str">
        <f t="shared" si="18"/>
        <v/>
      </c>
      <c r="E116" s="49" t="str">
        <f t="shared" si="17"/>
        <v/>
      </c>
      <c r="F116" s="64"/>
      <c r="G116" s="49" t="str">
        <f t="shared" si="13"/>
        <v/>
      </c>
      <c r="H116" s="67"/>
      <c r="I116" s="183" t="str">
        <f>IF(ISNUMBER(Daten!C115),Daten!D115,"")</f>
        <v/>
      </c>
      <c r="J116" s="50" t="str">
        <f t="shared" si="14"/>
        <v/>
      </c>
      <c r="K116" s="18"/>
      <c r="L116" s="4" t="str">
        <f t="shared" si="15"/>
        <v xml:space="preserve"> </v>
      </c>
      <c r="M116" s="9" t="str">
        <f t="shared" si="16"/>
        <v/>
      </c>
      <c r="N116" t="str">
        <f t="shared" si="12"/>
        <v/>
      </c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8"/>
      <c r="AH116" s="17"/>
      <c r="AI116" s="13"/>
      <c r="AJ116" s="13"/>
      <c r="AK116" s="14"/>
      <c r="AL116" s="14"/>
      <c r="AM116" s="15"/>
      <c r="AN116" s="3"/>
      <c r="AO116" s="15"/>
    </row>
    <row r="117" spans="2:41" ht="13.5" thickBot="1" x14ac:dyDescent="0.25">
      <c r="B117" s="51">
        <f t="shared" si="11"/>
        <v>100</v>
      </c>
      <c r="C117" s="52" t="str">
        <f>IF(ISNUMBER(Daten!B116),Daten!B116,"")</f>
        <v/>
      </c>
      <c r="D117" s="52" t="str">
        <f>IF(ISNUMBER(C117),C117-D$17,"")</f>
        <v/>
      </c>
      <c r="E117" s="196" t="str">
        <f t="shared" si="17"/>
        <v/>
      </c>
      <c r="F117" s="65"/>
      <c r="G117" s="196" t="str">
        <f t="shared" si="13"/>
        <v/>
      </c>
      <c r="H117" s="68"/>
      <c r="I117" s="197" t="str">
        <f>IF(ISNUMBER(Daten!C116),Daten!D116,"")</f>
        <v/>
      </c>
      <c r="J117" s="198" t="str">
        <f t="shared" si="14"/>
        <v/>
      </c>
      <c r="K117" s="18"/>
      <c r="L117" s="4" t="str">
        <f t="shared" si="15"/>
        <v xml:space="preserve"> </v>
      </c>
      <c r="M117" s="9" t="str">
        <f t="shared" si="16"/>
        <v/>
      </c>
      <c r="N117" t="str">
        <f t="shared" si="12"/>
        <v/>
      </c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8"/>
      <c r="AH117" s="17"/>
      <c r="AI117" s="13"/>
      <c r="AJ117" s="13"/>
      <c r="AK117" s="14"/>
      <c r="AL117" s="14"/>
      <c r="AM117" s="15"/>
      <c r="AN117" s="3"/>
      <c r="AO117" s="15"/>
    </row>
    <row r="118" spans="2:41" x14ac:dyDescent="0.2">
      <c r="AE118" s="8"/>
      <c r="AF118" s="8"/>
      <c r="AG118" s="8"/>
      <c r="AH118" s="8"/>
    </row>
    <row r="119" spans="2:41" x14ac:dyDescent="0.2">
      <c r="AE119" s="8"/>
      <c r="AF119" s="8"/>
      <c r="AG119" s="8"/>
      <c r="AH119" s="8"/>
    </row>
    <row r="120" spans="2:41" x14ac:dyDescent="0.2">
      <c r="AE120" s="8"/>
      <c r="AF120" s="8"/>
      <c r="AG120" s="8"/>
      <c r="AH120" s="8"/>
    </row>
    <row r="121" spans="2:41" x14ac:dyDescent="0.2">
      <c r="AE121" s="8"/>
      <c r="AF121" s="8"/>
      <c r="AG121" s="8"/>
      <c r="AH121" s="8"/>
    </row>
    <row r="122" spans="2:41" x14ac:dyDescent="0.2">
      <c r="AE122" s="8"/>
      <c r="AF122" s="8"/>
      <c r="AG122" s="8"/>
      <c r="AH122" s="8"/>
    </row>
    <row r="123" spans="2:41" x14ac:dyDescent="0.2">
      <c r="AE123" s="8"/>
      <c r="AF123" s="8"/>
      <c r="AG123" s="8"/>
      <c r="AH123" s="8"/>
    </row>
    <row r="124" spans="2:41" x14ac:dyDescent="0.2">
      <c r="AE124" s="8"/>
      <c r="AF124" s="8"/>
      <c r="AG124" s="8"/>
      <c r="AH124" s="8"/>
    </row>
    <row r="125" spans="2:41" x14ac:dyDescent="0.2">
      <c r="AE125" s="8"/>
      <c r="AF125" s="8"/>
      <c r="AG125" s="8"/>
      <c r="AH125" s="8"/>
    </row>
    <row r="126" spans="2:41" x14ac:dyDescent="0.2">
      <c r="AE126" s="8"/>
      <c r="AF126" s="8"/>
      <c r="AG126" s="8"/>
      <c r="AH126" s="8"/>
    </row>
  </sheetData>
  <sheetProtection sheet="1" objects="1" scenarios="1"/>
  <mergeCells count="1">
    <mergeCell ref="B1:J1"/>
  </mergeCells>
  <phoneticPr fontId="0" type="noConversion"/>
  <dataValidations count="2">
    <dataValidation type="decimal" operator="lessThan" allowBlank="1" showInputMessage="1" showErrorMessage="1" errorTitle="Gültigkeitsprüfung:" error="Die Mindestlebensdauer kann nicht größer sein als die kleinste beobachtete Lebensdauer." sqref="D17">
      <formula1>C18</formula1>
    </dataValidation>
    <dataValidation allowBlank="1" showInputMessage="1" showErrorMessage="1" error="Die Mindestlebensdauer kann nicht größer sein als die kleinste beobachtete Lebensdauer." sqref="D18"/>
  </dataValidations>
  <printOptions gridLines="1" gridLinesSet="0"/>
  <pageMargins left="0.78740157480314965" right="0.78740157480314965" top="0.98425196850393704" bottom="0.98425196850393704" header="0.51181102362204722" footer="0.51181102362204722"/>
  <pageSetup paperSize="9" orientation="portrait" horizontalDpi="360" verticalDpi="360" r:id="rId1"/>
  <headerFooter alignWithMargins="0">
    <oddHeader>&amp;A</oddHeader>
    <oddFooter>Seite &amp;P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30" r:id="rId4">
          <objectPr defaultSize="0" r:id="rId5">
            <anchor moveWithCells="1">
              <from>
                <xdr:col>1</xdr:col>
                <xdr:colOff>447675</xdr:colOff>
                <xdr:row>3</xdr:row>
                <xdr:rowOff>0</xdr:rowOff>
              </from>
              <to>
                <xdr:col>1</xdr:col>
                <xdr:colOff>561975</xdr:colOff>
                <xdr:row>3</xdr:row>
                <xdr:rowOff>190500</xdr:rowOff>
              </to>
            </anchor>
          </objectPr>
        </oleObject>
      </mc:Choice>
      <mc:Fallback>
        <oleObject progId="Equation.3" shapeId="1030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r:id="rId7">
            <anchor moveWithCells="1">
              <from>
                <xdr:col>1</xdr:col>
                <xdr:colOff>447675</xdr:colOff>
                <xdr:row>3</xdr:row>
                <xdr:rowOff>190500</xdr:rowOff>
              </from>
              <to>
                <xdr:col>1</xdr:col>
                <xdr:colOff>600075</xdr:colOff>
                <xdr:row>5</xdr:row>
                <xdr:rowOff>19050</xdr:rowOff>
              </to>
            </anchor>
          </objectPr>
        </oleObject>
      </mc:Choice>
      <mc:Fallback>
        <oleObject progId="Equation.3" shapeId="1032" r:id="rId6"/>
      </mc:Fallback>
    </mc:AlternateContent>
    <mc:AlternateContent xmlns:mc="http://schemas.openxmlformats.org/markup-compatibility/2006">
      <mc:Choice Requires="x14">
        <oleObject progId="Equation.3" shapeId="1033" r:id="rId8">
          <objectPr defaultSize="0" r:id="rId9">
            <anchor moveWithCells="1">
              <from>
                <xdr:col>1</xdr:col>
                <xdr:colOff>447675</xdr:colOff>
                <xdr:row>5</xdr:row>
                <xdr:rowOff>0</xdr:rowOff>
              </from>
              <to>
                <xdr:col>1</xdr:col>
                <xdr:colOff>590550</xdr:colOff>
                <xdr:row>6</xdr:row>
                <xdr:rowOff>0</xdr:rowOff>
              </to>
            </anchor>
          </objectPr>
        </oleObject>
      </mc:Choice>
      <mc:Fallback>
        <oleObject progId="Equation.3" shapeId="1033" r:id="rId8"/>
      </mc:Fallback>
    </mc:AlternateContent>
    <mc:AlternateContent xmlns:mc="http://schemas.openxmlformats.org/markup-compatibility/2006">
      <mc:Choice Requires="x14">
        <oleObject progId="Equation.3" shapeId="1034" r:id="rId10">
          <objectPr defaultSize="0" r:id="rId11">
            <anchor moveWithCells="1">
              <from>
                <xdr:col>1</xdr:col>
                <xdr:colOff>447675</xdr:colOff>
                <xdr:row>6</xdr:row>
                <xdr:rowOff>0</xdr:rowOff>
              </from>
              <to>
                <xdr:col>1</xdr:col>
                <xdr:colOff>647700</xdr:colOff>
                <xdr:row>7</xdr:row>
                <xdr:rowOff>0</xdr:rowOff>
              </to>
            </anchor>
          </objectPr>
        </oleObject>
      </mc:Choice>
      <mc:Fallback>
        <oleObject progId="Equation.3" shapeId="1034" r:id="rId10"/>
      </mc:Fallback>
    </mc:AlternateContent>
    <mc:AlternateContent xmlns:mc="http://schemas.openxmlformats.org/markup-compatibility/2006">
      <mc:Choice Requires="x14">
        <oleObject progId="Equation.3" shapeId="1040" r:id="rId12">
          <objectPr defaultSize="0" r:id="rId13">
            <anchor moveWithCells="1">
              <from>
                <xdr:col>1</xdr:col>
                <xdr:colOff>447675</xdr:colOff>
                <xdr:row>6</xdr:row>
                <xdr:rowOff>190500</xdr:rowOff>
              </from>
              <to>
                <xdr:col>1</xdr:col>
                <xdr:colOff>628650</xdr:colOff>
                <xdr:row>8</xdr:row>
                <xdr:rowOff>19050</xdr:rowOff>
              </to>
            </anchor>
          </objectPr>
        </oleObject>
      </mc:Choice>
      <mc:Fallback>
        <oleObject progId="Equation.3" shapeId="1040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r:id="rId15">
            <anchor moveWithCells="1">
              <from>
                <xdr:col>1</xdr:col>
                <xdr:colOff>447675</xdr:colOff>
                <xdr:row>7</xdr:row>
                <xdr:rowOff>180975</xdr:rowOff>
              </from>
              <to>
                <xdr:col>1</xdr:col>
                <xdr:colOff>638175</xdr:colOff>
                <xdr:row>9</xdr:row>
                <xdr:rowOff>28575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4" r:id="rId16">
          <objectPr defaultSize="0" autoPict="0" r:id="rId17">
            <anchor moveWithCells="1">
              <from>
                <xdr:col>1</xdr:col>
                <xdr:colOff>447675</xdr:colOff>
                <xdr:row>9</xdr:row>
                <xdr:rowOff>171450</xdr:rowOff>
              </from>
              <to>
                <xdr:col>1</xdr:col>
                <xdr:colOff>666750</xdr:colOff>
                <xdr:row>11</xdr:row>
                <xdr:rowOff>28575</xdr:rowOff>
              </to>
            </anchor>
          </objectPr>
        </oleObject>
      </mc:Choice>
      <mc:Fallback>
        <oleObject progId="Equation.3" shapeId="1044" r:id="rId16"/>
      </mc:Fallback>
    </mc:AlternateContent>
    <mc:AlternateContent xmlns:mc="http://schemas.openxmlformats.org/markup-compatibility/2006">
      <mc:Choice Requires="x14">
        <oleObject progId="Equation.3" shapeId="1046" r:id="rId18">
          <objectPr defaultSize="0" autoPict="0" r:id="rId19">
            <anchor moveWithCells="1">
              <from>
                <xdr:col>1</xdr:col>
                <xdr:colOff>447675</xdr:colOff>
                <xdr:row>8</xdr:row>
                <xdr:rowOff>171450</xdr:rowOff>
              </from>
              <to>
                <xdr:col>1</xdr:col>
                <xdr:colOff>666750</xdr:colOff>
                <xdr:row>10</xdr:row>
                <xdr:rowOff>28575</xdr:rowOff>
              </to>
            </anchor>
          </objectPr>
        </oleObject>
      </mc:Choice>
      <mc:Fallback>
        <oleObject progId="Equation.3" shapeId="1046" r:id="rId1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9"/>
  <sheetViews>
    <sheetView workbookViewId="0">
      <selection activeCell="B9" sqref="B9"/>
    </sheetView>
  </sheetViews>
  <sheetFormatPr baseColWidth="10" defaultRowHeight="12.75" x14ac:dyDescent="0.2"/>
  <cols>
    <col min="1" max="1" width="30.7109375" customWidth="1"/>
  </cols>
  <sheetData>
    <row r="1" spans="1:11" x14ac:dyDescent="0.2">
      <c r="A1" t="s">
        <v>45</v>
      </c>
      <c r="B1">
        <f>IF(ISNUMBER(Auswerteblatt!C18),INT(LOG(MIN(Auswerteblatt!C18:D18,IF(Auswerteblatt!D17&gt;0,Auswerteblatt!D17,1E+255)))),"")</f>
        <v>1</v>
      </c>
    </row>
    <row r="2" spans="1:11" x14ac:dyDescent="0.2">
      <c r="A2" t="s">
        <v>44</v>
      </c>
      <c r="B2">
        <f>LOG(Daten!B4)</f>
        <v>3</v>
      </c>
    </row>
    <row r="3" spans="1:11" x14ac:dyDescent="0.2">
      <c r="A3" t="s">
        <v>40</v>
      </c>
      <c r="B3">
        <f>B1+B2</f>
        <v>4</v>
      </c>
      <c r="C3" s="42"/>
    </row>
    <row r="4" spans="1:11" x14ac:dyDescent="0.2">
      <c r="A4" t="s">
        <v>48</v>
      </c>
      <c r="B4" s="91">
        <f>Auswerteblatt!C4</f>
        <v>4.0664522363325082</v>
      </c>
      <c r="C4" s="93"/>
    </row>
    <row r="5" spans="1:11" x14ac:dyDescent="0.2">
      <c r="A5" t="s">
        <v>46</v>
      </c>
      <c r="B5">
        <f>Auswerteblatt!C7/10^B1</f>
        <v>9.4061105760299242</v>
      </c>
    </row>
    <row r="6" spans="1:11" x14ac:dyDescent="0.2">
      <c r="A6" t="s">
        <v>47</v>
      </c>
      <c r="B6">
        <f>Auswerteblatt!C6/10^B1</f>
        <v>9.4061105760299242</v>
      </c>
    </row>
    <row r="7" spans="1:11" x14ac:dyDescent="0.2">
      <c r="A7" t="s">
        <v>49</v>
      </c>
      <c r="B7">
        <f>Auswerteblatt!D17/10^B1</f>
        <v>0</v>
      </c>
    </row>
    <row r="8" spans="1:11" x14ac:dyDescent="0.2">
      <c r="A8" t="s">
        <v>43</v>
      </c>
      <c r="B8" s="177">
        <f>10^I8</f>
        <v>1000</v>
      </c>
      <c r="C8" s="91">
        <f>MAX(B20:B119)</f>
        <v>13</v>
      </c>
      <c r="D8" s="92">
        <f>MAX(C20:C119)</f>
        <v>13</v>
      </c>
      <c r="E8">
        <f>B6</f>
        <v>9.4061105760299242</v>
      </c>
      <c r="F8">
        <f>B5</f>
        <v>9.4061105760299242</v>
      </c>
      <c r="G8">
        <v>1000</v>
      </c>
      <c r="H8">
        <f>MAX(C8:G8)</f>
        <v>1000</v>
      </c>
      <c r="I8" s="14">
        <f>ROUNDUP(LOG(H8),0)</f>
        <v>3</v>
      </c>
    </row>
    <row r="9" spans="1:11" x14ac:dyDescent="0.2">
      <c r="A9" t="s">
        <v>42</v>
      </c>
      <c r="B9" s="2">
        <v>1</v>
      </c>
      <c r="C9" s="91"/>
      <c r="D9" s="92"/>
      <c r="I9" s="14"/>
    </row>
    <row r="10" spans="1:11" x14ac:dyDescent="0.2">
      <c r="A10" t="s">
        <v>52</v>
      </c>
      <c r="B10" s="2">
        <v>0.999</v>
      </c>
    </row>
    <row r="11" spans="1:11" ht="13.5" thickBot="1" x14ac:dyDescent="0.25">
      <c r="A11" t="s">
        <v>53</v>
      </c>
      <c r="B11" s="2">
        <v>-7</v>
      </c>
    </row>
    <row r="12" spans="1:11" x14ac:dyDescent="0.2">
      <c r="A12" t="s">
        <v>50</v>
      </c>
      <c r="B12" s="101">
        <f>IF(D12&gt;F12,F12,D12)</f>
        <v>15.129176648807574</v>
      </c>
      <c r="C12" s="102">
        <f>IF(D12&gt;F12,G12,E12)</f>
        <v>1.9326447339160653</v>
      </c>
      <c r="D12" s="100">
        <f>B5*(-LN(1-B10)^(1/B4))</f>
        <v>15.129176648807574</v>
      </c>
      <c r="E12" s="106">
        <f>LN(-LN(1-B10))</f>
        <v>1.9326447339160653</v>
      </c>
      <c r="F12" s="97">
        <f>B8</f>
        <v>1000</v>
      </c>
      <c r="G12" s="98">
        <f>B4*LN(F12/B5)</f>
        <v>18.975675391009393</v>
      </c>
    </row>
    <row r="13" spans="1:11" ht="13.5" thickBot="1" x14ac:dyDescent="0.25">
      <c r="A13" t="s">
        <v>51</v>
      </c>
      <c r="B13" s="103">
        <f>IF(D13&lt;F13,F13,D13)</f>
        <v>1.6819558228042384</v>
      </c>
      <c r="C13" s="104">
        <f>IF(D13&lt;F13,G13,E13)</f>
        <v>-7</v>
      </c>
      <c r="D13" s="100">
        <f>EXP(E13/B4+LN(B5))</f>
        <v>1.6819558228042384</v>
      </c>
      <c r="E13" s="106">
        <f>B11</f>
        <v>-7</v>
      </c>
      <c r="F13" s="94">
        <f>B9</f>
        <v>1</v>
      </c>
      <c r="G13" s="98">
        <f>B4*LN(F13/B5)</f>
        <v>-9.114381511245206</v>
      </c>
      <c r="H13" s="3"/>
      <c r="I13" s="3"/>
      <c r="K13" s="3"/>
    </row>
    <row r="14" spans="1:11" x14ac:dyDescent="0.2">
      <c r="A14" t="s">
        <v>54</v>
      </c>
      <c r="B14" s="101">
        <f>IF(D14&gt;F14,F14,D14)</f>
        <v>15.129176648807574</v>
      </c>
      <c r="C14" s="102">
        <f>IF(D14&gt;F14,G14,E14)</f>
        <v>1.9326447339160653</v>
      </c>
      <c r="D14" s="105">
        <f>D12+B7</f>
        <v>15.129176648807574</v>
      </c>
      <c r="E14" s="106">
        <f>LN(-LN(1-0.999))</f>
        <v>1.9326447339160653</v>
      </c>
      <c r="F14" s="95">
        <f>B8</f>
        <v>1000</v>
      </c>
      <c r="G14" s="107">
        <f>B4*LN((F14-B7)/(B5))</f>
        <v>18.975675391009393</v>
      </c>
      <c r="H14" s="3"/>
      <c r="I14" s="26"/>
      <c r="K14" s="108"/>
    </row>
    <row r="15" spans="1:11" ht="13.5" thickBot="1" x14ac:dyDescent="0.25">
      <c r="A15" t="s">
        <v>55</v>
      </c>
      <c r="B15" s="109">
        <f>IF(D15&lt;F15,F15,D15)</f>
        <v>1.6819558228042384</v>
      </c>
      <c r="C15" s="110">
        <f>IF(D15&lt;F15,G15,E15)</f>
        <v>-7</v>
      </c>
      <c r="D15" s="105">
        <f>D13+B7</f>
        <v>1.6819558228042384</v>
      </c>
      <c r="E15" s="96">
        <f>B11</f>
        <v>-7</v>
      </c>
      <c r="F15" s="99">
        <f>B9</f>
        <v>1</v>
      </c>
      <c r="G15" s="96">
        <f>B4*LN((F15-B7)/B5)</f>
        <v>-9.114381511245206</v>
      </c>
      <c r="H15" s="3"/>
      <c r="I15" s="26"/>
      <c r="K15" s="108"/>
    </row>
    <row r="16" spans="1:11" x14ac:dyDescent="0.2">
      <c r="A16" s="101" t="str">
        <f>CONCATENATE("Lebensdauern t in ",C16,Daten!C4)</f>
        <v>Lebensdauern t in 10^4 km</v>
      </c>
      <c r="B16" s="111"/>
      <c r="C16" s="102" t="str">
        <f>IF(B3=0,"",IF(B3&lt;=3,CONCATENATE(10^B3," "),CONCATENATE("10^",B3," ")))</f>
        <v xml:space="preserve">10^4 </v>
      </c>
      <c r="D16" s="8"/>
      <c r="E16" s="8"/>
      <c r="G16" s="8"/>
      <c r="H16" s="8"/>
      <c r="I16" s="3"/>
      <c r="J16" s="26"/>
      <c r="K16" s="108"/>
    </row>
    <row r="17" spans="1:16" ht="13.5" thickBot="1" x14ac:dyDescent="0.25">
      <c r="A17" s="103" t="str">
        <f>IF(B6=B5,"",CONCATENATE("transformierte Lebensdauern (t – ",B7,") in ",C16,Daten!C4))</f>
        <v/>
      </c>
      <c r="B17" s="112"/>
      <c r="C17" s="104"/>
    </row>
    <row r="18" spans="1:16" x14ac:dyDescent="0.2">
      <c r="A18" s="175" t="s">
        <v>128</v>
      </c>
      <c r="B18" s="8"/>
      <c r="C18" s="74" t="s">
        <v>22</v>
      </c>
      <c r="D18" s="33"/>
      <c r="E18" s="171" t="s">
        <v>130</v>
      </c>
    </row>
    <row r="19" spans="1:16" ht="13.5" thickBot="1" x14ac:dyDescent="0.25">
      <c r="A19" s="176" t="str">
        <f>IF(ISNUMBER(E19),IF(E19=0,"–",IF(E19=1,"Der kleinste Wert geht in die Berechnung ein, wird aber im Lebensdauernetz nicht abgebildet.",CONCATENATE("Die kleinsten ",E19," Werte gehen in die Berechnung ein, werden aber im Lebensdauernetz nicht abgebildet."))),"–")</f>
        <v>–</v>
      </c>
      <c r="B19" s="89" t="s">
        <v>41</v>
      </c>
      <c r="C19" s="89" t="s">
        <v>39</v>
      </c>
      <c r="D19" s="90" t="s">
        <v>127</v>
      </c>
      <c r="E19" s="174">
        <f>SUM(E20:E119)</f>
        <v>0</v>
      </c>
      <c r="F19" s="205" t="s">
        <v>3</v>
      </c>
      <c r="G19" s="205"/>
      <c r="H19" s="206"/>
      <c r="I19" s="204" t="s">
        <v>4</v>
      </c>
      <c r="J19" s="205"/>
      <c r="K19" s="206"/>
      <c r="L19" s="202" t="s">
        <v>5</v>
      </c>
      <c r="M19" s="207"/>
      <c r="N19" s="204" t="s">
        <v>8</v>
      </c>
      <c r="O19" s="205"/>
      <c r="P19" s="206"/>
    </row>
    <row r="20" spans="1:16" x14ac:dyDescent="0.2">
      <c r="B20" s="86">
        <f>IF(ISNUMBER(Auswerteblatt!C18),Auswerteblatt!C18/10^$B$1,"")</f>
        <v>3</v>
      </c>
      <c r="C20" s="87">
        <f>IF(ISNUMBER(Auswerteblatt!C18),Auswerteblatt!D18/10^$B$1,"")</f>
        <v>3</v>
      </c>
      <c r="D20" s="36">
        <f>IF(ISNUMBER(Auswerteblatt!C18),Auswerteblatt!M18,"")</f>
        <v>-4.4942282218027154</v>
      </c>
      <c r="E20" s="173">
        <f>IF(D20&lt;$B$11,1,0)</f>
        <v>0</v>
      </c>
      <c r="F20" s="20">
        <v>0.1</v>
      </c>
      <c r="G20" s="9">
        <f t="shared" ref="G20:G39" si="0">LN(-LN(1-$F20/100))</f>
        <v>-6.9072550705237159</v>
      </c>
      <c r="H20" s="21">
        <f t="shared" ref="H20:H39" si="1">G20</f>
        <v>-6.9072550705237159</v>
      </c>
      <c r="I20" s="20">
        <v>0</v>
      </c>
      <c r="J20" s="31">
        <f>(EXP(K20/$B$4)*$B$5+$B$7)</f>
        <v>1.6819558228042386</v>
      </c>
      <c r="K20" s="21">
        <f>$C$15+($C$14-$C$15)/20*I20</f>
        <v>-7</v>
      </c>
      <c r="L20" s="29">
        <f>Auswerteblatt!$C$6/10^B1</f>
        <v>9.4061105760299242</v>
      </c>
      <c r="M20" s="33">
        <f>B11</f>
        <v>-7</v>
      </c>
      <c r="N20" s="29">
        <v>0</v>
      </c>
      <c r="O20" s="33">
        <f t="shared" ref="O20:O58" si="2">$B$8</f>
        <v>1000</v>
      </c>
      <c r="P20" s="36">
        <f t="shared" ref="P20:P58" si="3">$B$11+N20*LN(10)</f>
        <v>-7</v>
      </c>
    </row>
    <row r="21" spans="1:16" x14ac:dyDescent="0.2">
      <c r="B21" s="88">
        <f>IF(ISNUMBER(Auswerteblatt!L19),Auswerteblatt!C19/10^$B$1,B20)</f>
        <v>4</v>
      </c>
      <c r="C21" s="41">
        <f>IF(ISNUMBER(Auswerteblatt!L19),Auswerteblatt!D19/10^$B$1,C20)</f>
        <v>4</v>
      </c>
      <c r="D21" s="21">
        <f>IF(ISNUMBER(Auswerteblatt!M19),Auswerteblatt!M19,D20)</f>
        <v>-3.4727328283644452</v>
      </c>
      <c r="E21" s="173">
        <f t="shared" ref="E21:E84" si="4">IF(D21&lt;$B$11,1,0)</f>
        <v>0</v>
      </c>
      <c r="F21" s="20">
        <v>0.2</v>
      </c>
      <c r="G21" s="9">
        <f t="shared" si="0"/>
        <v>-6.2136072640874609</v>
      </c>
      <c r="H21" s="21">
        <f t="shared" si="1"/>
        <v>-6.2136072640874609</v>
      </c>
      <c r="I21" s="20">
        <f t="shared" ref="I21:I40" si="5">I20+1</f>
        <v>1</v>
      </c>
      <c r="J21" s="31">
        <f t="shared" ref="J21:J40" si="6">(EXP(K21/$B$4)*$B$5+$B$7)</f>
        <v>1.8772176122592705</v>
      </c>
      <c r="K21" s="21">
        <f t="shared" ref="K21:K40" si="7">$C$15+($C$14-$C$15)/20*I21</f>
        <v>-6.5533677633041965</v>
      </c>
      <c r="L21" s="28">
        <f>Auswerteblatt!$C$6/10^B1</f>
        <v>9.4061105760299242</v>
      </c>
      <c r="M21" s="34">
        <v>0</v>
      </c>
      <c r="N21" s="22">
        <v>0.1</v>
      </c>
      <c r="O21" s="8">
        <f t="shared" si="2"/>
        <v>1000</v>
      </c>
      <c r="P21" s="21">
        <f t="shared" si="3"/>
        <v>-6.7697414907005955</v>
      </c>
    </row>
    <row r="22" spans="1:16" x14ac:dyDescent="0.2">
      <c r="B22" s="88">
        <f>IF(ISNUMBER(Auswerteblatt!L20),Auswerteblatt!C20/10^$B$1,B21)</f>
        <v>5</v>
      </c>
      <c r="C22" s="41">
        <f>IF(ISNUMBER(Auswerteblatt!L20),Auswerteblatt!D20/10^$B$1,C21)</f>
        <v>5</v>
      </c>
      <c r="D22" s="21">
        <f>IF(ISNUMBER(Auswerteblatt!M20),Auswerteblatt!M20,D21)</f>
        <v>-2.6737520915052202</v>
      </c>
      <c r="E22" s="173">
        <f t="shared" si="4"/>
        <v>0</v>
      </c>
      <c r="F22" s="20">
        <v>0.3</v>
      </c>
      <c r="G22" s="9">
        <f t="shared" si="0"/>
        <v>-5.8076411119319511</v>
      </c>
      <c r="H22" s="21">
        <f t="shared" si="1"/>
        <v>-5.8076411119319511</v>
      </c>
      <c r="I22" s="20">
        <f t="shared" si="5"/>
        <v>2</v>
      </c>
      <c r="J22" s="31">
        <f t="shared" si="6"/>
        <v>2.0951477535843366</v>
      </c>
      <c r="K22" s="21">
        <f t="shared" si="7"/>
        <v>-6.1067355266083938</v>
      </c>
      <c r="N22" s="22">
        <v>0.2</v>
      </c>
      <c r="O22" s="8">
        <f t="shared" si="2"/>
        <v>1000</v>
      </c>
      <c r="P22" s="21">
        <f t="shared" si="3"/>
        <v>-6.539482981401191</v>
      </c>
    </row>
    <row r="23" spans="1:16" x14ac:dyDescent="0.2">
      <c r="B23" s="88">
        <f>IF(ISNUMBER(Auswerteblatt!L21),Auswerteblatt!C21/10^$B$1,B22)</f>
        <v>6</v>
      </c>
      <c r="C23" s="41">
        <f>IF(ISNUMBER(Auswerteblatt!L21),Auswerteblatt!D21/10^$B$1,C22)</f>
        <v>6</v>
      </c>
      <c r="D23" s="21">
        <f>IF(ISNUMBER(Auswerteblatt!M21),Auswerteblatt!M21,D22)</f>
        <v>-1.922019970625281</v>
      </c>
      <c r="E23" s="173">
        <f t="shared" si="4"/>
        <v>0</v>
      </c>
      <c r="F23" s="20">
        <v>0.5</v>
      </c>
      <c r="G23" s="9">
        <f t="shared" si="0"/>
        <v>-5.2958121425350253</v>
      </c>
      <c r="H23" s="21">
        <f t="shared" si="1"/>
        <v>-5.2958121425350253</v>
      </c>
      <c r="I23" s="20">
        <f t="shared" si="5"/>
        <v>3</v>
      </c>
      <c r="J23" s="31">
        <f t="shared" si="6"/>
        <v>2.3383778634307952</v>
      </c>
      <c r="K23" s="21">
        <f t="shared" si="7"/>
        <v>-5.6601032899125903</v>
      </c>
      <c r="L23" s="202" t="s">
        <v>6</v>
      </c>
      <c r="M23" s="203"/>
      <c r="N23" s="22">
        <v>0.3</v>
      </c>
      <c r="O23" s="8">
        <f t="shared" si="2"/>
        <v>1000</v>
      </c>
      <c r="P23" s="21">
        <f t="shared" si="3"/>
        <v>-6.3092244721017865</v>
      </c>
    </row>
    <row r="24" spans="1:16" x14ac:dyDescent="0.2">
      <c r="B24" s="88">
        <f>IF(ISNUMBER(Auswerteblatt!L22),Auswerteblatt!C22/10^$B$1,B23)</f>
        <v>7</v>
      </c>
      <c r="C24" s="41">
        <f>IF(ISNUMBER(Auswerteblatt!L22),Auswerteblatt!D22/10^$B$1,C23)</f>
        <v>7</v>
      </c>
      <c r="D24" s="21">
        <f>IF(ISNUMBER(Auswerteblatt!M22),Auswerteblatt!M22,D23)</f>
        <v>-1.2458993237072384</v>
      </c>
      <c r="E24" s="173">
        <f t="shared" si="4"/>
        <v>0</v>
      </c>
      <c r="F24" s="20">
        <v>1</v>
      </c>
      <c r="G24" s="9">
        <f t="shared" si="0"/>
        <v>-4.6001492267765789</v>
      </c>
      <c r="H24" s="21">
        <f t="shared" si="1"/>
        <v>-4.6001492267765789</v>
      </c>
      <c r="I24" s="20">
        <f t="shared" si="5"/>
        <v>4</v>
      </c>
      <c r="J24" s="31">
        <f t="shared" si="6"/>
        <v>2.6098450683626533</v>
      </c>
      <c r="K24" s="21">
        <f t="shared" si="7"/>
        <v>-5.2134710532167867</v>
      </c>
      <c r="L24" s="30">
        <f>IF(Auswerteblatt!D17&lt;=0,Auswerteblatt!C6,Auswerteblatt!D17)/10^B1</f>
        <v>9.4061105760299242</v>
      </c>
      <c r="M24" s="35">
        <f>B11</f>
        <v>-7</v>
      </c>
      <c r="N24" s="22">
        <v>0.4</v>
      </c>
      <c r="O24" s="8">
        <f t="shared" si="2"/>
        <v>1000</v>
      </c>
      <c r="P24" s="21">
        <f t="shared" si="3"/>
        <v>-6.078965962802382</v>
      </c>
    </row>
    <row r="25" spans="1:16" x14ac:dyDescent="0.2">
      <c r="B25" s="88">
        <f>IF(ISNUMBER(Auswerteblatt!L23),Auswerteblatt!C23/10^$B$1,B24)</f>
        <v>8</v>
      </c>
      <c r="C25" s="41">
        <f>IF(ISNUMBER(Auswerteblatt!L23),Auswerteblatt!D23/10^$B$1,C24)</f>
        <v>8</v>
      </c>
      <c r="D25" s="21">
        <f>IF(ISNUMBER(Auswerteblatt!M23),Auswerteblatt!M23,D24)</f>
        <v>-0.70830856550419652</v>
      </c>
      <c r="E25" s="173">
        <f t="shared" si="4"/>
        <v>0</v>
      </c>
      <c r="F25" s="20">
        <v>2</v>
      </c>
      <c r="G25" s="9">
        <f t="shared" si="0"/>
        <v>-3.9019386579358333</v>
      </c>
      <c r="H25" s="21">
        <f t="shared" si="1"/>
        <v>-3.9019386579358333</v>
      </c>
      <c r="I25" s="20">
        <f t="shared" si="5"/>
        <v>5</v>
      </c>
      <c r="J25" s="31">
        <f t="shared" si="6"/>
        <v>2.9128274721449623</v>
      </c>
      <c r="K25" s="21">
        <f t="shared" si="7"/>
        <v>-4.7668388165209841</v>
      </c>
      <c r="N25" s="22">
        <v>0.5</v>
      </c>
      <c r="O25" s="8">
        <f t="shared" si="2"/>
        <v>1000</v>
      </c>
      <c r="P25" s="21">
        <f t="shared" si="3"/>
        <v>-5.8487074535029766</v>
      </c>
    </row>
    <row r="26" spans="1:16" x14ac:dyDescent="0.2">
      <c r="B26" s="88">
        <f>IF(ISNUMBER(Auswerteblatt!L24),Auswerteblatt!C24/10^$B$1,B25)</f>
        <v>9</v>
      </c>
      <c r="C26" s="41">
        <f>IF(ISNUMBER(Auswerteblatt!L24),Auswerteblatt!D24/10^$B$1,C25)</f>
        <v>9</v>
      </c>
      <c r="D26" s="21">
        <f>IF(ISNUMBER(Auswerteblatt!M24),Auswerteblatt!M24,D25)</f>
        <v>-0.19418080237716071</v>
      </c>
      <c r="E26" s="173">
        <f t="shared" si="4"/>
        <v>0</v>
      </c>
      <c r="F26" s="20">
        <v>3</v>
      </c>
      <c r="G26" s="9">
        <f t="shared" si="0"/>
        <v>-3.4913669500837861</v>
      </c>
      <c r="H26" s="21">
        <f t="shared" si="1"/>
        <v>-3.4913669500837861</v>
      </c>
      <c r="I26" s="20">
        <f t="shared" si="5"/>
        <v>6</v>
      </c>
      <c r="J26" s="31">
        <f t="shared" si="6"/>
        <v>3.2509837405043354</v>
      </c>
      <c r="K26" s="21">
        <f t="shared" si="7"/>
        <v>-4.3202065798251805</v>
      </c>
      <c r="L26" s="202" t="s">
        <v>7</v>
      </c>
      <c r="M26" s="203"/>
      <c r="N26" s="22">
        <v>0.6</v>
      </c>
      <c r="O26" s="8">
        <f t="shared" si="2"/>
        <v>1000</v>
      </c>
      <c r="P26" s="21">
        <f t="shared" si="3"/>
        <v>-5.618448944203573</v>
      </c>
    </row>
    <row r="27" spans="1:16" x14ac:dyDescent="0.2">
      <c r="B27" s="88">
        <f>IF(ISNUMBER(Auswerteblatt!L25),Auswerteblatt!C25/10^$B$1,B26)</f>
        <v>10</v>
      </c>
      <c r="C27" s="41">
        <f>IF(ISNUMBER(Auswerteblatt!L25),Auswerteblatt!D25/10^$B$1,C26)</f>
        <v>10</v>
      </c>
      <c r="D27" s="21">
        <f>IF(ISNUMBER(Auswerteblatt!M25),Auswerteblatt!M25,D26)</f>
        <v>0.23200911038417396</v>
      </c>
      <c r="E27" s="173">
        <f t="shared" si="4"/>
        <v>0</v>
      </c>
      <c r="F27" s="20">
        <v>5</v>
      </c>
      <c r="G27" s="9">
        <f t="shared" si="0"/>
        <v>-2.9701952490421637</v>
      </c>
      <c r="H27" s="21">
        <f t="shared" si="1"/>
        <v>-2.9701952490421637</v>
      </c>
      <c r="I27" s="20">
        <f t="shared" si="5"/>
        <v>7</v>
      </c>
      <c r="J27" s="31">
        <f t="shared" si="6"/>
        <v>3.6283972813675724</v>
      </c>
      <c r="K27" s="21">
        <f t="shared" si="7"/>
        <v>-3.873574343129377</v>
      </c>
      <c r="L27" s="29">
        <f>B8/10</f>
        <v>100</v>
      </c>
      <c r="M27" s="33">
        <f>B11</f>
        <v>-7</v>
      </c>
      <c r="N27" s="22">
        <v>0.7</v>
      </c>
      <c r="O27" s="8">
        <f t="shared" si="2"/>
        <v>1000</v>
      </c>
      <c r="P27" s="21">
        <f t="shared" si="3"/>
        <v>-5.3881904349041676</v>
      </c>
    </row>
    <row r="28" spans="1:16" x14ac:dyDescent="0.2">
      <c r="B28" s="88">
        <f>IF(ISNUMBER(Auswerteblatt!L26),Auswerteblatt!C26/10^$B$1,B27)</f>
        <v>11</v>
      </c>
      <c r="C28" s="41">
        <f>IF(ISNUMBER(Auswerteblatt!L26),Auswerteblatt!D26/10^$B$1,C27)</f>
        <v>11</v>
      </c>
      <c r="D28" s="21">
        <f>IF(ISNUMBER(Auswerteblatt!M26),Auswerteblatt!M26,D27)</f>
        <v>0.62098089019878544</v>
      </c>
      <c r="E28" s="173">
        <f t="shared" si="4"/>
        <v>0</v>
      </c>
      <c r="F28" s="20">
        <v>10</v>
      </c>
      <c r="G28" s="9">
        <f t="shared" si="0"/>
        <v>-2.2503673273124454</v>
      </c>
      <c r="H28" s="21">
        <f t="shared" si="1"/>
        <v>-2.2503673273124454</v>
      </c>
      <c r="I28" s="20">
        <f t="shared" si="5"/>
        <v>8</v>
      </c>
      <c r="J28" s="31">
        <f t="shared" si="6"/>
        <v>4.0496255540771244</v>
      </c>
      <c r="K28" s="21">
        <f t="shared" si="7"/>
        <v>-3.4269421064335739</v>
      </c>
      <c r="L28" s="28">
        <f>B8</f>
        <v>1000</v>
      </c>
      <c r="M28" s="34">
        <f>M27+LN(10)</f>
        <v>-4.6974149070059541</v>
      </c>
      <c r="N28" s="22">
        <v>0.8</v>
      </c>
      <c r="O28" s="8">
        <f t="shared" si="2"/>
        <v>1000</v>
      </c>
      <c r="P28" s="21">
        <f t="shared" si="3"/>
        <v>-5.1579319256047631</v>
      </c>
    </row>
    <row r="29" spans="1:16" x14ac:dyDescent="0.2">
      <c r="B29" s="88">
        <f>IF(ISNUMBER(Auswerteblatt!L27),Auswerteblatt!C27/10^$B$1,B28)</f>
        <v>12</v>
      </c>
      <c r="C29" s="41">
        <f>IF(ISNUMBER(Auswerteblatt!L27),Auswerteblatt!D27/10^$B$1,C28)</f>
        <v>12</v>
      </c>
      <c r="D29" s="21">
        <f>IF(ISNUMBER(Auswerteblatt!M27),Auswerteblatt!M27,D28)</f>
        <v>1.0789757653523631</v>
      </c>
      <c r="E29" s="173">
        <f t="shared" si="4"/>
        <v>0</v>
      </c>
      <c r="F29" s="20">
        <v>20</v>
      </c>
      <c r="G29" s="9">
        <f t="shared" si="0"/>
        <v>-1.4999399867595158</v>
      </c>
      <c r="H29" s="21">
        <f t="shared" si="1"/>
        <v>-1.4999399867595158</v>
      </c>
      <c r="I29" s="20">
        <f t="shared" si="5"/>
        <v>9</v>
      </c>
      <c r="J29" s="31">
        <f t="shared" si="6"/>
        <v>4.5197551030170997</v>
      </c>
      <c r="K29" s="21">
        <f t="shared" si="7"/>
        <v>-2.9803098697377708</v>
      </c>
      <c r="N29" s="22">
        <v>0.9</v>
      </c>
      <c r="O29" s="8">
        <f t="shared" si="2"/>
        <v>1000</v>
      </c>
      <c r="P29" s="21">
        <f t="shared" si="3"/>
        <v>-4.9276734163053586</v>
      </c>
    </row>
    <row r="30" spans="1:16" x14ac:dyDescent="0.2">
      <c r="B30" s="88">
        <f>IF(ISNUMBER(Auswerteblatt!L28),Auswerteblatt!C28/10^$B$1,B29)</f>
        <v>13</v>
      </c>
      <c r="C30" s="41">
        <f>IF(ISNUMBER(Auswerteblatt!L28),Auswerteblatt!D28/10^$B$1,C29)</f>
        <v>13</v>
      </c>
      <c r="D30" s="21">
        <f>IF(ISNUMBER(Auswerteblatt!M28),Auswerteblatt!M28,D29)</f>
        <v>1.4096066464289518</v>
      </c>
      <c r="E30" s="173">
        <f t="shared" si="4"/>
        <v>0</v>
      </c>
      <c r="F30" s="20">
        <v>30</v>
      </c>
      <c r="G30" s="9">
        <f t="shared" si="0"/>
        <v>-1.0309304331587228</v>
      </c>
      <c r="H30" s="21">
        <f t="shared" si="1"/>
        <v>-1.0309304331587228</v>
      </c>
      <c r="I30" s="20">
        <f t="shared" si="5"/>
        <v>10</v>
      </c>
      <c r="J30" s="31">
        <f t="shared" si="6"/>
        <v>5.0444629802086789</v>
      </c>
      <c r="K30" s="21">
        <f t="shared" si="7"/>
        <v>-2.5336776330419672</v>
      </c>
      <c r="L30" s="202" t="s">
        <v>9</v>
      </c>
      <c r="M30" s="203"/>
      <c r="N30" s="22">
        <v>1</v>
      </c>
      <c r="O30" s="8">
        <f t="shared" si="2"/>
        <v>1000</v>
      </c>
      <c r="P30" s="21">
        <f t="shared" si="3"/>
        <v>-4.6974149070059541</v>
      </c>
    </row>
    <row r="31" spans="1:16" x14ac:dyDescent="0.2">
      <c r="B31" s="88">
        <f>IF(ISNUMBER(Auswerteblatt!L29),Auswerteblatt!C29/10^$B$1,B30)</f>
        <v>13</v>
      </c>
      <c r="C31" s="41">
        <f>IF(ISNUMBER(Auswerteblatt!L29),Auswerteblatt!D29/10^$B$1,C30)</f>
        <v>13</v>
      </c>
      <c r="D31" s="21">
        <f>IF(ISNUMBER(Auswerteblatt!M29),Auswerteblatt!M29,D30)</f>
        <v>1.4096066464289518</v>
      </c>
      <c r="E31" s="173">
        <f t="shared" si="4"/>
        <v>0</v>
      </c>
      <c r="F31" s="20">
        <v>40</v>
      </c>
      <c r="G31" s="9">
        <f t="shared" si="0"/>
        <v>-0.67172699209212194</v>
      </c>
      <c r="H31" s="21">
        <f t="shared" si="1"/>
        <v>-0.67172699209212194</v>
      </c>
      <c r="I31" s="20">
        <f t="shared" si="5"/>
        <v>11</v>
      </c>
      <c r="J31" s="31">
        <f t="shared" si="6"/>
        <v>5.6300852985838317</v>
      </c>
      <c r="K31" s="21">
        <f t="shared" si="7"/>
        <v>-2.0870453963461637</v>
      </c>
      <c r="L31" s="29">
        <f>B8/10</f>
        <v>100</v>
      </c>
      <c r="M31" s="33">
        <f>B11</f>
        <v>-7</v>
      </c>
      <c r="N31" s="22">
        <v>1.1000000000000001</v>
      </c>
      <c r="O31" s="8">
        <f t="shared" si="2"/>
        <v>1000</v>
      </c>
      <c r="P31" s="21">
        <f t="shared" si="3"/>
        <v>-4.4671563977065496</v>
      </c>
    </row>
    <row r="32" spans="1:16" x14ac:dyDescent="0.2">
      <c r="B32" s="88">
        <f>IF(ISNUMBER(Auswerteblatt!L30),Auswerteblatt!C30/10^$B$1,B31)</f>
        <v>13</v>
      </c>
      <c r="C32" s="41">
        <f>IF(ISNUMBER(Auswerteblatt!L30),Auswerteblatt!D30/10^$B$1,C31)</f>
        <v>13</v>
      </c>
      <c r="D32" s="21">
        <f>IF(ISNUMBER(Auswerteblatt!M30),Auswerteblatt!M30,D31)</f>
        <v>1.4096066464289518</v>
      </c>
      <c r="E32" s="173">
        <f t="shared" si="4"/>
        <v>0</v>
      </c>
      <c r="F32" s="20">
        <v>50</v>
      </c>
      <c r="G32" s="9">
        <f t="shared" si="0"/>
        <v>-0.36651292058166435</v>
      </c>
      <c r="H32" s="21">
        <f t="shared" si="1"/>
        <v>-0.36651292058166435</v>
      </c>
      <c r="I32" s="20">
        <f t="shared" si="5"/>
        <v>12</v>
      </c>
      <c r="J32" s="31">
        <f t="shared" si="6"/>
        <v>6.2836937437527824</v>
      </c>
      <c r="K32" s="21">
        <f t="shared" si="7"/>
        <v>-1.6404131596503611</v>
      </c>
      <c r="L32">
        <f>IF(M34&gt;M33,L33,L34)</f>
        <v>899.49905007514042</v>
      </c>
      <c r="M32" s="8">
        <f>IF(M34&gt;M33,M33,M34)</f>
        <v>1.9326447339160815</v>
      </c>
      <c r="N32" s="22">
        <v>1.2</v>
      </c>
      <c r="O32" s="8">
        <f t="shared" si="2"/>
        <v>1000</v>
      </c>
      <c r="P32" s="21">
        <f t="shared" si="3"/>
        <v>-4.2368978884071451</v>
      </c>
    </row>
    <row r="33" spans="2:18" x14ac:dyDescent="0.2">
      <c r="B33" s="88">
        <f>IF(ISNUMBER(Auswerteblatt!L31),Auswerteblatt!C31/10^$B$1,B32)</f>
        <v>13</v>
      </c>
      <c r="C33" s="41">
        <f>IF(ISNUMBER(Auswerteblatt!L31),Auswerteblatt!D31/10^$B$1,C32)</f>
        <v>13</v>
      </c>
      <c r="D33" s="21">
        <f>IF(ISNUMBER(Auswerteblatt!M31),Auswerteblatt!M31,D32)</f>
        <v>1.4096066464289518</v>
      </c>
      <c r="E33" s="173">
        <f t="shared" si="4"/>
        <v>0</v>
      </c>
      <c r="F33" s="20">
        <v>60</v>
      </c>
      <c r="G33" s="9">
        <f t="shared" si="0"/>
        <v>-8.7421571790755173E-2</v>
      </c>
      <c r="H33" s="21">
        <f t="shared" si="1"/>
        <v>-8.7421571790755173E-2</v>
      </c>
      <c r="I33" s="20">
        <f t="shared" si="5"/>
        <v>13</v>
      </c>
      <c r="J33" s="31">
        <f t="shared" si="6"/>
        <v>7.0131809681835033</v>
      </c>
      <c r="K33" s="21">
        <f t="shared" si="7"/>
        <v>-1.1937809229545575</v>
      </c>
      <c r="L33">
        <f>10^((H39-B11)/Auswerteblatt!C4/LN(10)+LOG('LN-Transfer'!B8/10))</f>
        <v>899.49905007514042</v>
      </c>
      <c r="M33" s="9">
        <f>H39</f>
        <v>1.9326447339160815</v>
      </c>
      <c r="N33" s="22">
        <v>1.3</v>
      </c>
      <c r="O33" s="8">
        <f t="shared" si="2"/>
        <v>1000</v>
      </c>
      <c r="P33" s="21">
        <f t="shared" si="3"/>
        <v>-4.0066393791077406</v>
      </c>
    </row>
    <row r="34" spans="2:18" x14ac:dyDescent="0.2">
      <c r="B34" s="88">
        <f>IF(ISNUMBER(Auswerteblatt!L32),Auswerteblatt!C32/10^$B$1,B33)</f>
        <v>13</v>
      </c>
      <c r="C34" s="41">
        <f>IF(ISNUMBER(Auswerteblatt!L32),Auswerteblatt!D32/10^$B$1,C33)</f>
        <v>13</v>
      </c>
      <c r="D34" s="21">
        <f>IF(ISNUMBER(Auswerteblatt!M32),Auswerteblatt!M32,D33)</f>
        <v>1.4096066464289518</v>
      </c>
      <c r="E34" s="173">
        <f t="shared" si="4"/>
        <v>0</v>
      </c>
      <c r="F34" s="22">
        <f>100*(1-EXP(-1))</f>
        <v>63.212055882855765</v>
      </c>
      <c r="G34" s="9">
        <f t="shared" si="0"/>
        <v>0</v>
      </c>
      <c r="H34" s="21">
        <f t="shared" si="1"/>
        <v>0</v>
      </c>
      <c r="I34" s="20">
        <f t="shared" si="5"/>
        <v>14</v>
      </c>
      <c r="J34" s="31">
        <f t="shared" si="6"/>
        <v>7.8273558989711258</v>
      </c>
      <c r="K34" s="21">
        <f t="shared" si="7"/>
        <v>-0.74714868625875397</v>
      </c>
      <c r="L34" s="28">
        <f>B8</f>
        <v>1000</v>
      </c>
      <c r="M34" s="34">
        <f>M31+LN(10)*Auswerteblatt!C4</f>
        <v>2.3633523007515347</v>
      </c>
      <c r="N34" s="22">
        <v>1.4</v>
      </c>
      <c r="O34" s="8">
        <f t="shared" si="2"/>
        <v>1000</v>
      </c>
      <c r="P34" s="21">
        <f t="shared" si="3"/>
        <v>-3.7763808698083361</v>
      </c>
    </row>
    <row r="35" spans="2:18" x14ac:dyDescent="0.2">
      <c r="B35" s="88">
        <f>IF(ISNUMBER(Auswerteblatt!L33),Auswerteblatt!C33/10^$B$1,B34)</f>
        <v>13</v>
      </c>
      <c r="C35" s="41">
        <f>IF(ISNUMBER(Auswerteblatt!L33),Auswerteblatt!D33/10^$B$1,C34)</f>
        <v>13</v>
      </c>
      <c r="D35" s="21">
        <f>IF(ISNUMBER(Auswerteblatt!M33),Auswerteblatt!M33,D34)</f>
        <v>1.4096066464289518</v>
      </c>
      <c r="E35" s="173">
        <f t="shared" si="4"/>
        <v>0</v>
      </c>
      <c r="F35" s="20">
        <v>70</v>
      </c>
      <c r="G35" s="9">
        <f t="shared" si="0"/>
        <v>0.18562675886236557</v>
      </c>
      <c r="H35" s="21">
        <f t="shared" si="1"/>
        <v>0.18562675886236557</v>
      </c>
      <c r="I35" s="20">
        <f t="shared" si="5"/>
        <v>15</v>
      </c>
      <c r="J35" s="31">
        <f t="shared" si="6"/>
        <v>8.73605011008679</v>
      </c>
      <c r="K35" s="21">
        <f t="shared" si="7"/>
        <v>-0.30051644956295132</v>
      </c>
      <c r="N35" s="22">
        <v>1.5</v>
      </c>
      <c r="O35" s="8">
        <f t="shared" si="2"/>
        <v>1000</v>
      </c>
      <c r="P35" s="21">
        <f t="shared" si="3"/>
        <v>-3.5461223605089311</v>
      </c>
    </row>
    <row r="36" spans="2:18" x14ac:dyDescent="0.2">
      <c r="B36" s="88">
        <f>IF(ISNUMBER(Auswerteblatt!L34),Auswerteblatt!C34/10^$B$1,B35)</f>
        <v>13</v>
      </c>
      <c r="C36" s="41">
        <f>IF(ISNUMBER(Auswerteblatt!L34),Auswerteblatt!D34/10^$B$1,C35)</f>
        <v>13</v>
      </c>
      <c r="D36" s="21">
        <f>IF(ISNUMBER(Auswerteblatt!M34),Auswerteblatt!M34,D35)</f>
        <v>1.4096066464289518</v>
      </c>
      <c r="E36" s="173">
        <f t="shared" si="4"/>
        <v>0</v>
      </c>
      <c r="F36" s="20">
        <v>80</v>
      </c>
      <c r="G36" s="9">
        <f t="shared" si="0"/>
        <v>0.4758849953271107</v>
      </c>
      <c r="H36" s="21">
        <f t="shared" si="1"/>
        <v>0.4758849953271107</v>
      </c>
      <c r="I36" s="20">
        <f t="shared" si="5"/>
        <v>16</v>
      </c>
      <c r="J36" s="31">
        <f t="shared" si="6"/>
        <v>9.7502365436046148</v>
      </c>
      <c r="K36" s="21">
        <f t="shared" si="7"/>
        <v>0.14611578713285223</v>
      </c>
      <c r="N36" s="22">
        <v>1.6</v>
      </c>
      <c r="O36" s="8">
        <f t="shared" si="2"/>
        <v>1000</v>
      </c>
      <c r="P36" s="21">
        <f t="shared" si="3"/>
        <v>-3.3158638512095262</v>
      </c>
    </row>
    <row r="37" spans="2:18" x14ac:dyDescent="0.2">
      <c r="B37" s="88">
        <f>IF(ISNUMBER(Auswerteblatt!L35),Auswerteblatt!C35/10^$B$1,B36)</f>
        <v>13</v>
      </c>
      <c r="C37" s="41">
        <f>IF(ISNUMBER(Auswerteblatt!L35),Auswerteblatt!D35/10^$B$1,C36)</f>
        <v>13</v>
      </c>
      <c r="D37" s="21">
        <f>IF(ISNUMBER(Auswerteblatt!M35),Auswerteblatt!M35,D36)</f>
        <v>1.4096066464289518</v>
      </c>
      <c r="E37" s="173">
        <f t="shared" si="4"/>
        <v>0</v>
      </c>
      <c r="F37" s="20">
        <v>90</v>
      </c>
      <c r="G37" s="9">
        <f t="shared" si="0"/>
        <v>0.83403244524795594</v>
      </c>
      <c r="H37" s="21">
        <f t="shared" si="1"/>
        <v>0.83403244524795594</v>
      </c>
      <c r="I37" s="20">
        <f t="shared" si="5"/>
        <v>17</v>
      </c>
      <c r="J37" s="31">
        <f t="shared" si="6"/>
        <v>10.88216201352563</v>
      </c>
      <c r="K37" s="21">
        <f t="shared" si="7"/>
        <v>0.59274802382865577</v>
      </c>
      <c r="N37" s="22">
        <v>1.7</v>
      </c>
      <c r="O37" s="8">
        <f t="shared" si="2"/>
        <v>1000</v>
      </c>
      <c r="P37" s="21">
        <f t="shared" si="3"/>
        <v>-3.0856053419101221</v>
      </c>
    </row>
    <row r="38" spans="2:18" x14ac:dyDescent="0.2">
      <c r="B38" s="88">
        <f>IF(ISNUMBER(Auswerteblatt!L36),Auswerteblatt!C36/10^$B$1,B37)</f>
        <v>13</v>
      </c>
      <c r="C38" s="41">
        <f>IF(ISNUMBER(Auswerteblatt!L36),Auswerteblatt!D36/10^$B$1,C37)</f>
        <v>13</v>
      </c>
      <c r="D38" s="21">
        <f>IF(ISNUMBER(Auswerteblatt!M36),Auswerteblatt!M36,D37)</f>
        <v>1.4096066464289518</v>
      </c>
      <c r="E38" s="173">
        <f t="shared" si="4"/>
        <v>0</v>
      </c>
      <c r="F38" s="20">
        <v>99</v>
      </c>
      <c r="G38" s="9">
        <f t="shared" si="0"/>
        <v>1.5271796258079011</v>
      </c>
      <c r="H38" s="21">
        <f t="shared" si="1"/>
        <v>1.5271796258079011</v>
      </c>
      <c r="I38" s="20">
        <f t="shared" si="5"/>
        <v>18</v>
      </c>
      <c r="J38" s="31">
        <f t="shared" si="6"/>
        <v>12.145495092249355</v>
      </c>
      <c r="K38" s="21">
        <f t="shared" si="7"/>
        <v>1.0393802605244584</v>
      </c>
      <c r="N38" s="22">
        <v>1.8</v>
      </c>
      <c r="O38" s="8">
        <f t="shared" si="2"/>
        <v>1000</v>
      </c>
      <c r="P38" s="21">
        <f t="shared" si="3"/>
        <v>-2.8553468326107172</v>
      </c>
    </row>
    <row r="39" spans="2:18" x14ac:dyDescent="0.2">
      <c r="B39" s="88">
        <f>IF(ISNUMBER(Auswerteblatt!L37),Auswerteblatt!C37/10^$B$1,B38)</f>
        <v>13</v>
      </c>
      <c r="C39" s="41">
        <f>IF(ISNUMBER(Auswerteblatt!L37),Auswerteblatt!D37/10^$B$1,C38)</f>
        <v>13</v>
      </c>
      <c r="D39" s="21">
        <f>IF(ISNUMBER(Auswerteblatt!M37),Auswerteblatt!M37,D38)</f>
        <v>1.4096066464289518</v>
      </c>
      <c r="E39" s="173">
        <f t="shared" si="4"/>
        <v>0</v>
      </c>
      <c r="F39" s="23">
        <v>99.9</v>
      </c>
      <c r="G39" s="24">
        <f t="shared" si="0"/>
        <v>1.9326447339160815</v>
      </c>
      <c r="H39" s="25">
        <f t="shared" si="1"/>
        <v>1.9326447339160815</v>
      </c>
      <c r="I39" s="20">
        <f t="shared" si="5"/>
        <v>19</v>
      </c>
      <c r="J39" s="31">
        <f t="shared" si="6"/>
        <v>13.555491165496953</v>
      </c>
      <c r="K39" s="21">
        <f t="shared" si="7"/>
        <v>1.486012497220262</v>
      </c>
      <c r="N39" s="22">
        <v>1.9</v>
      </c>
      <c r="O39" s="8">
        <f t="shared" si="2"/>
        <v>1000</v>
      </c>
      <c r="P39" s="21">
        <f t="shared" si="3"/>
        <v>-2.6250883233113127</v>
      </c>
    </row>
    <row r="40" spans="2:18" x14ac:dyDescent="0.2">
      <c r="B40" s="88">
        <f>IF(ISNUMBER(Auswerteblatt!L38),Auswerteblatt!C38/10^$B$1,B39)</f>
        <v>13</v>
      </c>
      <c r="C40" s="41">
        <f>IF(ISNUMBER(Auswerteblatt!L38),Auswerteblatt!D38/10^$B$1,C39)</f>
        <v>13</v>
      </c>
      <c r="D40" s="21">
        <f>IF(ISNUMBER(Auswerteblatt!M38),Auswerteblatt!M38,D39)</f>
        <v>1.4096066464289518</v>
      </c>
      <c r="E40" s="173">
        <f t="shared" si="4"/>
        <v>0</v>
      </c>
      <c r="I40" s="23">
        <f t="shared" si="5"/>
        <v>20</v>
      </c>
      <c r="J40" s="32">
        <f t="shared" si="6"/>
        <v>15.129176648807576</v>
      </c>
      <c r="K40" s="25">
        <f t="shared" si="7"/>
        <v>1.9326447339160655</v>
      </c>
      <c r="N40" s="22">
        <v>2</v>
      </c>
      <c r="O40" s="8">
        <f t="shared" si="2"/>
        <v>1000</v>
      </c>
      <c r="P40" s="21">
        <f t="shared" si="3"/>
        <v>-2.3948298140119082</v>
      </c>
      <c r="Q40" s="11"/>
      <c r="R40" s="11"/>
    </row>
    <row r="41" spans="2:18" x14ac:dyDescent="0.2">
      <c r="B41" s="88">
        <f>IF(ISNUMBER(Auswerteblatt!L39),Auswerteblatt!C39/10^$B$1,B40)</f>
        <v>13</v>
      </c>
      <c r="C41" s="41">
        <f>IF(ISNUMBER(Auswerteblatt!L39),Auswerteblatt!D39/10^$B$1,C40)</f>
        <v>13</v>
      </c>
      <c r="D41" s="21">
        <f>IF(ISNUMBER(Auswerteblatt!M39),Auswerteblatt!M39,D40)</f>
        <v>1.4096066464289518</v>
      </c>
      <c r="E41" s="173">
        <f t="shared" si="4"/>
        <v>0</v>
      </c>
      <c r="N41" s="22">
        <v>2.1</v>
      </c>
      <c r="O41" s="8">
        <f t="shared" si="2"/>
        <v>1000</v>
      </c>
      <c r="P41" s="21">
        <f t="shared" si="3"/>
        <v>-2.1645713047125037</v>
      </c>
    </row>
    <row r="42" spans="2:18" x14ac:dyDescent="0.2">
      <c r="B42" s="88">
        <f>IF(ISNUMBER(Auswerteblatt!L40),Auswerteblatt!C40/10^$B$1,B41)</f>
        <v>13</v>
      </c>
      <c r="C42" s="41">
        <f>IF(ISNUMBER(Auswerteblatt!L40),Auswerteblatt!D40/10^$B$1,C41)</f>
        <v>13</v>
      </c>
      <c r="D42" s="21">
        <f>IF(ISNUMBER(Auswerteblatt!M40),Auswerteblatt!M40,D41)</f>
        <v>1.4096066464289518</v>
      </c>
      <c r="E42" s="173">
        <f t="shared" si="4"/>
        <v>0</v>
      </c>
      <c r="N42" s="22">
        <v>2.2000000000000002</v>
      </c>
      <c r="O42" s="8">
        <f t="shared" si="2"/>
        <v>1000</v>
      </c>
      <c r="P42" s="21">
        <f t="shared" si="3"/>
        <v>-1.9343127954130983</v>
      </c>
    </row>
    <row r="43" spans="2:18" x14ac:dyDescent="0.2">
      <c r="B43" s="88">
        <f>IF(ISNUMBER(Auswerteblatt!L41),Auswerteblatt!C41/10^$B$1,B42)</f>
        <v>13</v>
      </c>
      <c r="C43" s="41">
        <f>IF(ISNUMBER(Auswerteblatt!L41),Auswerteblatt!D41/10^$B$1,C42)</f>
        <v>13</v>
      </c>
      <c r="D43" s="21">
        <f>IF(ISNUMBER(Auswerteblatt!M41),Auswerteblatt!M41,D42)</f>
        <v>1.4096066464289518</v>
      </c>
      <c r="E43" s="173">
        <f t="shared" si="4"/>
        <v>0</v>
      </c>
      <c r="N43" s="22">
        <v>2.2999999999999998</v>
      </c>
      <c r="O43" s="8">
        <f t="shared" si="2"/>
        <v>1000</v>
      </c>
      <c r="P43" s="21">
        <f t="shared" si="3"/>
        <v>-1.7040542861136947</v>
      </c>
    </row>
    <row r="44" spans="2:18" x14ac:dyDescent="0.2">
      <c r="B44" s="88">
        <f>IF(ISNUMBER(Auswerteblatt!L42),Auswerteblatt!C42/10^$B$1,B43)</f>
        <v>13</v>
      </c>
      <c r="C44" s="41">
        <f>IF(ISNUMBER(Auswerteblatt!L42),Auswerteblatt!D42/10^$B$1,C43)</f>
        <v>13</v>
      </c>
      <c r="D44" s="21">
        <f>IF(ISNUMBER(Auswerteblatt!M42),Auswerteblatt!M42,D43)</f>
        <v>1.4096066464289518</v>
      </c>
      <c r="E44" s="173">
        <f t="shared" si="4"/>
        <v>0</v>
      </c>
      <c r="N44" s="22">
        <v>2.4</v>
      </c>
      <c r="O44" s="8">
        <f t="shared" si="2"/>
        <v>1000</v>
      </c>
      <c r="P44" s="21">
        <f t="shared" si="3"/>
        <v>-1.4737957768142902</v>
      </c>
    </row>
    <row r="45" spans="2:18" x14ac:dyDescent="0.2">
      <c r="B45" s="88">
        <f>IF(ISNUMBER(Auswerteblatt!L43),Auswerteblatt!C43/10^$B$1,B44)</f>
        <v>13</v>
      </c>
      <c r="C45" s="41">
        <f>IF(ISNUMBER(Auswerteblatt!L43),Auswerteblatt!D43/10^$B$1,C44)</f>
        <v>13</v>
      </c>
      <c r="D45" s="21">
        <f>IF(ISNUMBER(Auswerteblatt!M43),Auswerteblatt!M43,D44)</f>
        <v>1.4096066464289518</v>
      </c>
      <c r="E45" s="173">
        <f t="shared" si="4"/>
        <v>0</v>
      </c>
      <c r="N45" s="22">
        <v>2.5</v>
      </c>
      <c r="O45" s="8">
        <f t="shared" si="2"/>
        <v>1000</v>
      </c>
      <c r="P45" s="21">
        <f t="shared" si="3"/>
        <v>-1.2435372675148848</v>
      </c>
    </row>
    <row r="46" spans="2:18" x14ac:dyDescent="0.2">
      <c r="B46" s="88">
        <f>IF(ISNUMBER(Auswerteblatt!L44),Auswerteblatt!C44/10^$B$1,B45)</f>
        <v>13</v>
      </c>
      <c r="C46" s="41">
        <f>IF(ISNUMBER(Auswerteblatt!L44),Auswerteblatt!D44/10^$B$1,C45)</f>
        <v>13</v>
      </c>
      <c r="D46" s="21">
        <f>IF(ISNUMBER(Auswerteblatt!M44),Auswerteblatt!M44,D45)</f>
        <v>1.4096066464289518</v>
      </c>
      <c r="E46" s="173">
        <f t="shared" si="4"/>
        <v>0</v>
      </c>
      <c r="N46" s="22">
        <v>2.6</v>
      </c>
      <c r="O46" s="8">
        <f t="shared" si="2"/>
        <v>1000</v>
      </c>
      <c r="P46" s="21">
        <f t="shared" si="3"/>
        <v>-1.0132787582154803</v>
      </c>
    </row>
    <row r="47" spans="2:18" x14ac:dyDescent="0.2">
      <c r="B47" s="88">
        <f>IF(ISNUMBER(Auswerteblatt!L45),Auswerteblatt!C45/10^$B$1,B46)</f>
        <v>13</v>
      </c>
      <c r="C47" s="41">
        <f>IF(ISNUMBER(Auswerteblatt!L45),Auswerteblatt!D45/10^$B$1,C46)</f>
        <v>13</v>
      </c>
      <c r="D47" s="21">
        <f>IF(ISNUMBER(Auswerteblatt!M45),Auswerteblatt!M45,D46)</f>
        <v>1.4096066464289518</v>
      </c>
      <c r="E47" s="173">
        <f t="shared" si="4"/>
        <v>0</v>
      </c>
      <c r="N47" s="22">
        <v>2.7</v>
      </c>
      <c r="O47" s="8">
        <f t="shared" si="2"/>
        <v>1000</v>
      </c>
      <c r="P47" s="21">
        <f t="shared" si="3"/>
        <v>-0.7830202489160758</v>
      </c>
    </row>
    <row r="48" spans="2:18" x14ac:dyDescent="0.2">
      <c r="B48" s="88">
        <f>IF(ISNUMBER(Auswerteblatt!L46),Auswerteblatt!C46/10^$B$1,B47)</f>
        <v>13</v>
      </c>
      <c r="C48" s="41">
        <f>IF(ISNUMBER(Auswerteblatt!L46),Auswerteblatt!D46/10^$B$1,C47)</f>
        <v>13</v>
      </c>
      <c r="D48" s="21">
        <f>IF(ISNUMBER(Auswerteblatt!M46),Auswerteblatt!M46,D47)</f>
        <v>1.4096066464289518</v>
      </c>
      <c r="E48" s="173">
        <f t="shared" si="4"/>
        <v>0</v>
      </c>
      <c r="N48" s="22">
        <v>2.8</v>
      </c>
      <c r="O48" s="8">
        <f t="shared" si="2"/>
        <v>1000</v>
      </c>
      <c r="P48" s="21">
        <f t="shared" si="3"/>
        <v>-0.55276173961667219</v>
      </c>
    </row>
    <row r="49" spans="2:16" x14ac:dyDescent="0.2">
      <c r="B49" s="88">
        <f>IF(ISNUMBER(Auswerteblatt!L47),Auswerteblatt!C47/10^$B$1,B48)</f>
        <v>13</v>
      </c>
      <c r="C49" s="41">
        <f>IF(ISNUMBER(Auswerteblatt!L47),Auswerteblatt!D47/10^$B$1,C48)</f>
        <v>13</v>
      </c>
      <c r="D49" s="21">
        <f>IF(ISNUMBER(Auswerteblatt!M47),Auswerteblatt!M47,D48)</f>
        <v>1.4096066464289518</v>
      </c>
      <c r="E49" s="173">
        <f t="shared" si="4"/>
        <v>0</v>
      </c>
      <c r="N49" s="22">
        <v>2.9</v>
      </c>
      <c r="O49" s="8">
        <f t="shared" si="2"/>
        <v>1000</v>
      </c>
      <c r="P49" s="21">
        <f t="shared" si="3"/>
        <v>-0.3225032303172668</v>
      </c>
    </row>
    <row r="50" spans="2:16" x14ac:dyDescent="0.2">
      <c r="B50" s="88">
        <f>IF(ISNUMBER(Auswerteblatt!L48),Auswerteblatt!C48/10^$B$1,B49)</f>
        <v>13</v>
      </c>
      <c r="C50" s="41">
        <f>IF(ISNUMBER(Auswerteblatt!L48),Auswerteblatt!D48/10^$B$1,C49)</f>
        <v>13</v>
      </c>
      <c r="D50" s="21">
        <f>IF(ISNUMBER(Auswerteblatt!M48),Auswerteblatt!M48,D49)</f>
        <v>1.4096066464289518</v>
      </c>
      <c r="E50" s="173">
        <f t="shared" si="4"/>
        <v>0</v>
      </c>
      <c r="N50" s="22">
        <v>3</v>
      </c>
      <c r="O50" s="8">
        <f t="shared" si="2"/>
        <v>1000</v>
      </c>
      <c r="P50" s="21">
        <f t="shared" si="3"/>
        <v>-9.2244721017862297E-2</v>
      </c>
    </row>
    <row r="51" spans="2:16" x14ac:dyDescent="0.2">
      <c r="B51" s="88">
        <f>IF(ISNUMBER(Auswerteblatt!L49),Auswerteblatt!C49/10^$B$1,B50)</f>
        <v>13</v>
      </c>
      <c r="C51" s="41">
        <f>IF(ISNUMBER(Auswerteblatt!L49),Auswerteblatt!D49/10^$B$1,C50)</f>
        <v>13</v>
      </c>
      <c r="D51" s="21">
        <f>IF(ISNUMBER(Auswerteblatt!M49),Auswerteblatt!M49,D50)</f>
        <v>1.4096066464289518</v>
      </c>
      <c r="E51" s="173">
        <f t="shared" si="4"/>
        <v>0</v>
      </c>
      <c r="N51" s="22">
        <v>3.1</v>
      </c>
      <c r="O51" s="8">
        <f t="shared" si="2"/>
        <v>1000</v>
      </c>
      <c r="P51" s="21">
        <f t="shared" si="3"/>
        <v>0.1380137882815422</v>
      </c>
    </row>
    <row r="52" spans="2:16" x14ac:dyDescent="0.2">
      <c r="B52" s="88">
        <f>IF(ISNUMBER(Auswerteblatt!L50),Auswerteblatt!C50/10^$B$1,B51)</f>
        <v>13</v>
      </c>
      <c r="C52" s="41">
        <f>IF(ISNUMBER(Auswerteblatt!L50),Auswerteblatt!D50/10^$B$1,C51)</f>
        <v>13</v>
      </c>
      <c r="D52" s="21">
        <f>IF(ISNUMBER(Auswerteblatt!M50),Auswerteblatt!M50,D51)</f>
        <v>1.4096066464289518</v>
      </c>
      <c r="E52" s="173">
        <f t="shared" si="4"/>
        <v>0</v>
      </c>
      <c r="N52" s="22">
        <v>3.2</v>
      </c>
      <c r="O52" s="8">
        <f t="shared" si="2"/>
        <v>1000</v>
      </c>
      <c r="P52" s="21">
        <f t="shared" si="3"/>
        <v>0.36827229758094759</v>
      </c>
    </row>
    <row r="53" spans="2:16" x14ac:dyDescent="0.2">
      <c r="B53" s="88">
        <f>IF(ISNUMBER(Auswerteblatt!L51),Auswerteblatt!C51/10^$B$1,B52)</f>
        <v>13</v>
      </c>
      <c r="C53" s="41">
        <f>IF(ISNUMBER(Auswerteblatt!L51),Auswerteblatt!D51/10^$B$1,C52)</f>
        <v>13</v>
      </c>
      <c r="D53" s="21">
        <f>IF(ISNUMBER(Auswerteblatt!M51),Auswerteblatt!M51,D52)</f>
        <v>1.4096066464289518</v>
      </c>
      <c r="E53" s="173">
        <f t="shared" si="4"/>
        <v>0</v>
      </c>
      <c r="N53" s="22">
        <v>3.3</v>
      </c>
      <c r="O53" s="8">
        <f t="shared" si="2"/>
        <v>1000</v>
      </c>
      <c r="P53" s="21">
        <f t="shared" si="3"/>
        <v>0.59853080688035121</v>
      </c>
    </row>
    <row r="54" spans="2:16" x14ac:dyDescent="0.2">
      <c r="B54" s="88">
        <f>IF(ISNUMBER(Auswerteblatt!L52),Auswerteblatt!C52/10^$B$1,B53)</f>
        <v>13</v>
      </c>
      <c r="C54" s="41">
        <f>IF(ISNUMBER(Auswerteblatt!L52),Auswerteblatt!D52/10^$B$1,C53)</f>
        <v>13</v>
      </c>
      <c r="D54" s="21">
        <f>IF(ISNUMBER(Auswerteblatt!M52),Auswerteblatt!M52,D53)</f>
        <v>1.4096066464289518</v>
      </c>
      <c r="E54" s="173">
        <f t="shared" si="4"/>
        <v>0</v>
      </c>
      <c r="N54" s="22">
        <v>3.4</v>
      </c>
      <c r="O54" s="8">
        <f t="shared" si="2"/>
        <v>1000</v>
      </c>
      <c r="P54" s="21">
        <f t="shared" si="3"/>
        <v>0.82878931617975571</v>
      </c>
    </row>
    <row r="55" spans="2:16" x14ac:dyDescent="0.2">
      <c r="B55" s="88">
        <f>IF(ISNUMBER(Auswerteblatt!L53),Auswerteblatt!C53/10^$B$1,B54)</f>
        <v>13</v>
      </c>
      <c r="C55" s="41">
        <f>IF(ISNUMBER(Auswerteblatt!L53),Auswerteblatt!D53/10^$B$1,C54)</f>
        <v>13</v>
      </c>
      <c r="D55" s="21">
        <f>IF(ISNUMBER(Auswerteblatt!M53),Auswerteblatt!M53,D54)</f>
        <v>1.4096066464289518</v>
      </c>
      <c r="E55" s="173">
        <f t="shared" si="4"/>
        <v>0</v>
      </c>
      <c r="N55" s="22">
        <v>3.5</v>
      </c>
      <c r="O55" s="8">
        <f t="shared" si="2"/>
        <v>1000</v>
      </c>
      <c r="P55" s="21">
        <f t="shared" si="3"/>
        <v>1.0590478254791602</v>
      </c>
    </row>
    <row r="56" spans="2:16" x14ac:dyDescent="0.2">
      <c r="B56" s="88">
        <f>IF(ISNUMBER(Auswerteblatt!L54),Auswerteblatt!C54/10^$B$1,B55)</f>
        <v>13</v>
      </c>
      <c r="C56" s="41">
        <f>IF(ISNUMBER(Auswerteblatt!L54),Auswerteblatt!D54/10^$B$1,C55)</f>
        <v>13</v>
      </c>
      <c r="D56" s="21">
        <f>IF(ISNUMBER(Auswerteblatt!M54),Auswerteblatt!M54,D55)</f>
        <v>1.4096066464289518</v>
      </c>
      <c r="E56" s="173">
        <f t="shared" si="4"/>
        <v>0</v>
      </c>
      <c r="N56" s="22">
        <v>3.6</v>
      </c>
      <c r="O56" s="8">
        <f t="shared" si="2"/>
        <v>1000</v>
      </c>
      <c r="P56" s="21">
        <f t="shared" si="3"/>
        <v>1.2893063347785656</v>
      </c>
    </row>
    <row r="57" spans="2:16" x14ac:dyDescent="0.2">
      <c r="B57" s="88">
        <f>IF(ISNUMBER(Auswerteblatt!L55),Auswerteblatt!C55/10^$B$1,B56)</f>
        <v>13</v>
      </c>
      <c r="C57" s="41">
        <f>IF(ISNUMBER(Auswerteblatt!L55),Auswerteblatt!D55/10^$B$1,C56)</f>
        <v>13</v>
      </c>
      <c r="D57" s="21">
        <f>IF(ISNUMBER(Auswerteblatt!M55),Auswerteblatt!M55,D56)</f>
        <v>1.4096066464289518</v>
      </c>
      <c r="E57" s="173">
        <f t="shared" si="4"/>
        <v>0</v>
      </c>
      <c r="N57" s="22">
        <v>3.7</v>
      </c>
      <c r="O57" s="8">
        <f t="shared" si="2"/>
        <v>1000</v>
      </c>
      <c r="P57" s="21">
        <f t="shared" si="3"/>
        <v>1.519564844077971</v>
      </c>
    </row>
    <row r="58" spans="2:16" x14ac:dyDescent="0.2">
      <c r="B58" s="88">
        <f>IF(ISNUMBER(Auswerteblatt!L56),Auswerteblatt!C56/10^$B$1,B57)</f>
        <v>13</v>
      </c>
      <c r="C58" s="41">
        <f>IF(ISNUMBER(Auswerteblatt!L56),Auswerteblatt!D56/10^$B$1,C57)</f>
        <v>13</v>
      </c>
      <c r="D58" s="21">
        <f>IF(ISNUMBER(Auswerteblatt!M56),Auswerteblatt!M56,D57)</f>
        <v>1.4096066464289518</v>
      </c>
      <c r="E58" s="173">
        <f t="shared" si="4"/>
        <v>0</v>
      </c>
      <c r="N58" s="28">
        <v>3.8</v>
      </c>
      <c r="O58" s="34">
        <f t="shared" si="2"/>
        <v>1000</v>
      </c>
      <c r="P58" s="25">
        <f t="shared" si="3"/>
        <v>1.7498233533773746</v>
      </c>
    </row>
    <row r="59" spans="2:16" x14ac:dyDescent="0.2">
      <c r="B59" s="88">
        <f>IF(ISNUMBER(Auswerteblatt!L57),Auswerteblatt!C57/10^$B$1,B58)</f>
        <v>13</v>
      </c>
      <c r="C59" s="41">
        <f>IF(ISNUMBER(Auswerteblatt!L57),Auswerteblatt!D57/10^$B$1,C58)</f>
        <v>13</v>
      </c>
      <c r="D59" s="21">
        <f>IF(ISNUMBER(Auswerteblatt!M57),Auswerteblatt!M57,D58)</f>
        <v>1.4096066464289518</v>
      </c>
      <c r="E59" s="173">
        <f t="shared" si="4"/>
        <v>0</v>
      </c>
      <c r="N59" s="27"/>
      <c r="P59" s="4"/>
    </row>
    <row r="60" spans="2:16" x14ac:dyDescent="0.2">
      <c r="B60" s="88">
        <f>IF(ISNUMBER(Auswerteblatt!L58),Auswerteblatt!C58/10^$B$1,B59)</f>
        <v>13</v>
      </c>
      <c r="C60" s="41">
        <f>IF(ISNUMBER(Auswerteblatt!L58),Auswerteblatt!D58/10^$B$1,C59)</f>
        <v>13</v>
      </c>
      <c r="D60" s="21">
        <f>IF(ISNUMBER(Auswerteblatt!M58),Auswerteblatt!M58,D59)</f>
        <v>1.4096066464289518</v>
      </c>
      <c r="E60" s="173">
        <f t="shared" si="4"/>
        <v>0</v>
      </c>
      <c r="N60" s="27"/>
      <c r="P60" s="4"/>
    </row>
    <row r="61" spans="2:16" x14ac:dyDescent="0.2">
      <c r="B61" s="88">
        <f>IF(ISNUMBER(Auswerteblatt!L59),Auswerteblatt!C59/10^$B$1,B60)</f>
        <v>13</v>
      </c>
      <c r="C61" s="41">
        <f>IF(ISNUMBER(Auswerteblatt!L59),Auswerteblatt!D59/10^$B$1,C60)</f>
        <v>13</v>
      </c>
      <c r="D61" s="21">
        <f>IF(ISNUMBER(Auswerteblatt!M59),Auswerteblatt!M59,D60)</f>
        <v>1.4096066464289518</v>
      </c>
      <c r="E61" s="173">
        <f t="shared" si="4"/>
        <v>0</v>
      </c>
      <c r="N61" s="27"/>
      <c r="P61" s="4"/>
    </row>
    <row r="62" spans="2:16" x14ac:dyDescent="0.2">
      <c r="B62" s="88">
        <f>IF(ISNUMBER(Auswerteblatt!L60),Auswerteblatt!C60/10^$B$1,B61)</f>
        <v>13</v>
      </c>
      <c r="C62" s="41">
        <f>IF(ISNUMBER(Auswerteblatt!L60),Auswerteblatt!D60/10^$B$1,C61)</f>
        <v>13</v>
      </c>
      <c r="D62" s="21">
        <f>IF(ISNUMBER(Auswerteblatt!M60),Auswerteblatt!M60,D61)</f>
        <v>1.4096066464289518</v>
      </c>
      <c r="E62" s="173">
        <f t="shared" si="4"/>
        <v>0</v>
      </c>
      <c r="N62" s="27"/>
      <c r="P62" s="4"/>
    </row>
    <row r="63" spans="2:16" x14ac:dyDescent="0.2">
      <c r="B63" s="88">
        <f>IF(ISNUMBER(Auswerteblatt!L61),Auswerteblatt!C61/10^$B$1,B62)</f>
        <v>13</v>
      </c>
      <c r="C63" s="41">
        <f>IF(ISNUMBER(Auswerteblatt!L61),Auswerteblatt!D61/10^$B$1,C62)</f>
        <v>13</v>
      </c>
      <c r="D63" s="21">
        <f>IF(ISNUMBER(Auswerteblatt!M61),Auswerteblatt!M61,D62)</f>
        <v>1.4096066464289518</v>
      </c>
      <c r="E63" s="173">
        <f t="shared" si="4"/>
        <v>0</v>
      </c>
      <c r="N63" s="27"/>
      <c r="P63" s="4"/>
    </row>
    <row r="64" spans="2:16" x14ac:dyDescent="0.2">
      <c r="B64" s="88">
        <f>IF(ISNUMBER(Auswerteblatt!L62),Auswerteblatt!C62/10^$B$1,B63)</f>
        <v>13</v>
      </c>
      <c r="C64" s="41">
        <f>IF(ISNUMBER(Auswerteblatt!L62),Auswerteblatt!D62/10^$B$1,C63)</f>
        <v>13</v>
      </c>
      <c r="D64" s="21">
        <f>IF(ISNUMBER(Auswerteblatt!M62),Auswerteblatt!M62,D63)</f>
        <v>1.4096066464289518</v>
      </c>
      <c r="E64" s="173">
        <f t="shared" si="4"/>
        <v>0</v>
      </c>
    </row>
    <row r="65" spans="2:5" x14ac:dyDescent="0.2">
      <c r="B65" s="88">
        <f>IF(ISNUMBER(Auswerteblatt!L63),Auswerteblatt!C63/10^$B$1,B64)</f>
        <v>13</v>
      </c>
      <c r="C65" s="41">
        <f>IF(ISNUMBER(Auswerteblatt!L63),Auswerteblatt!D63/10^$B$1,C64)</f>
        <v>13</v>
      </c>
      <c r="D65" s="21">
        <f>IF(ISNUMBER(Auswerteblatt!M63),Auswerteblatt!M63,D64)</f>
        <v>1.4096066464289518</v>
      </c>
      <c r="E65" s="173">
        <f t="shared" si="4"/>
        <v>0</v>
      </c>
    </row>
    <row r="66" spans="2:5" x14ac:dyDescent="0.2">
      <c r="B66" s="88">
        <f>IF(ISNUMBER(Auswerteblatt!L64),Auswerteblatt!C64/10^$B$1,B65)</f>
        <v>13</v>
      </c>
      <c r="C66" s="41">
        <f>IF(ISNUMBER(Auswerteblatt!L64),Auswerteblatt!D64/10^$B$1,C65)</f>
        <v>13</v>
      </c>
      <c r="D66" s="21">
        <f>IF(ISNUMBER(Auswerteblatt!M64),Auswerteblatt!M64,D65)</f>
        <v>1.4096066464289518</v>
      </c>
      <c r="E66" s="173">
        <f t="shared" si="4"/>
        <v>0</v>
      </c>
    </row>
    <row r="67" spans="2:5" x14ac:dyDescent="0.2">
      <c r="B67" s="88">
        <f>IF(ISNUMBER(Auswerteblatt!L65),Auswerteblatt!C65/10^$B$1,B66)</f>
        <v>13</v>
      </c>
      <c r="C67" s="41">
        <f>IF(ISNUMBER(Auswerteblatt!L65),Auswerteblatt!D65/10^$B$1,C66)</f>
        <v>13</v>
      </c>
      <c r="D67" s="21">
        <f>IF(ISNUMBER(Auswerteblatt!M65),Auswerteblatt!M65,D66)</f>
        <v>1.4096066464289518</v>
      </c>
      <c r="E67" s="173">
        <f t="shared" si="4"/>
        <v>0</v>
      </c>
    </row>
    <row r="68" spans="2:5" x14ac:dyDescent="0.2">
      <c r="B68" s="88">
        <f>IF(ISNUMBER(Auswerteblatt!L66),Auswerteblatt!C66/10^$B$1,B67)</f>
        <v>13</v>
      </c>
      <c r="C68" s="41">
        <f>IF(ISNUMBER(Auswerteblatt!L66),Auswerteblatt!D66/10^$B$1,C67)</f>
        <v>13</v>
      </c>
      <c r="D68" s="21">
        <f>IF(ISNUMBER(Auswerteblatt!M66),Auswerteblatt!M66,D67)</f>
        <v>1.4096066464289518</v>
      </c>
      <c r="E68" s="173">
        <f t="shared" si="4"/>
        <v>0</v>
      </c>
    </row>
    <row r="69" spans="2:5" x14ac:dyDescent="0.2">
      <c r="B69" s="88">
        <f>IF(ISNUMBER(Auswerteblatt!L67),Auswerteblatt!C67/10^$B$1,B68)</f>
        <v>13</v>
      </c>
      <c r="C69" s="41">
        <f>IF(ISNUMBER(Auswerteblatt!L67),Auswerteblatt!D67/10^$B$1,C68)</f>
        <v>13</v>
      </c>
      <c r="D69" s="21">
        <f>IF(ISNUMBER(Auswerteblatt!M67),Auswerteblatt!M67,D68)</f>
        <v>1.4096066464289518</v>
      </c>
      <c r="E69" s="173">
        <f t="shared" si="4"/>
        <v>0</v>
      </c>
    </row>
    <row r="70" spans="2:5" x14ac:dyDescent="0.2">
      <c r="B70" s="88">
        <f>IF(ISNUMBER(Auswerteblatt!L68),Auswerteblatt!C68/10^$B$1,B69)</f>
        <v>13</v>
      </c>
      <c r="C70" s="41">
        <f>IF(ISNUMBER(Auswerteblatt!L68),Auswerteblatt!D68/10^$B$1,C69)</f>
        <v>13</v>
      </c>
      <c r="D70" s="21">
        <f>IF(ISNUMBER(Auswerteblatt!M68),Auswerteblatt!M68,D69)</f>
        <v>1.4096066464289518</v>
      </c>
      <c r="E70" s="173">
        <f t="shared" si="4"/>
        <v>0</v>
      </c>
    </row>
    <row r="71" spans="2:5" x14ac:dyDescent="0.2">
      <c r="B71" s="88">
        <f>IF(ISNUMBER(Auswerteblatt!L69),Auswerteblatt!C69/10^$B$1,B70)</f>
        <v>13</v>
      </c>
      <c r="C71" s="41">
        <f>IF(ISNUMBER(Auswerteblatt!L69),Auswerteblatt!D69/10^$B$1,C70)</f>
        <v>13</v>
      </c>
      <c r="D71" s="21">
        <f>IF(ISNUMBER(Auswerteblatt!M69),Auswerteblatt!M69,D70)</f>
        <v>1.4096066464289518</v>
      </c>
      <c r="E71" s="173">
        <f t="shared" si="4"/>
        <v>0</v>
      </c>
    </row>
    <row r="72" spans="2:5" x14ac:dyDescent="0.2">
      <c r="B72" s="88">
        <f>IF(ISNUMBER(Auswerteblatt!L70),Auswerteblatt!C70/10^$B$1,B71)</f>
        <v>13</v>
      </c>
      <c r="C72" s="41">
        <f>IF(ISNUMBER(Auswerteblatt!L70),Auswerteblatt!D70/10^$B$1,C71)</f>
        <v>13</v>
      </c>
      <c r="D72" s="21">
        <f>IF(ISNUMBER(Auswerteblatt!M70),Auswerteblatt!M70,D71)</f>
        <v>1.4096066464289518</v>
      </c>
      <c r="E72" s="173">
        <f t="shared" si="4"/>
        <v>0</v>
      </c>
    </row>
    <row r="73" spans="2:5" x14ac:dyDescent="0.2">
      <c r="B73" s="88">
        <f>IF(ISNUMBER(Auswerteblatt!L71),Auswerteblatt!C71/10^$B$1,B72)</f>
        <v>13</v>
      </c>
      <c r="C73" s="41">
        <f>IF(ISNUMBER(Auswerteblatt!L71),Auswerteblatt!D71/10^$B$1,C72)</f>
        <v>13</v>
      </c>
      <c r="D73" s="21">
        <f>IF(ISNUMBER(Auswerteblatt!M71),Auswerteblatt!M71,D72)</f>
        <v>1.4096066464289518</v>
      </c>
      <c r="E73" s="173">
        <f t="shared" si="4"/>
        <v>0</v>
      </c>
    </row>
    <row r="74" spans="2:5" x14ac:dyDescent="0.2">
      <c r="B74" s="88">
        <f>IF(ISNUMBER(Auswerteblatt!L72),Auswerteblatt!C72/10^$B$1,B73)</f>
        <v>13</v>
      </c>
      <c r="C74" s="41">
        <f>IF(ISNUMBER(Auswerteblatt!L72),Auswerteblatt!D72/10^$B$1,C73)</f>
        <v>13</v>
      </c>
      <c r="D74" s="21">
        <f>IF(ISNUMBER(Auswerteblatt!M72),Auswerteblatt!M72,D73)</f>
        <v>1.4096066464289518</v>
      </c>
      <c r="E74" s="173">
        <f t="shared" si="4"/>
        <v>0</v>
      </c>
    </row>
    <row r="75" spans="2:5" x14ac:dyDescent="0.2">
      <c r="B75" s="88">
        <f>IF(ISNUMBER(Auswerteblatt!L73),Auswerteblatt!C73/10^$B$1,B74)</f>
        <v>13</v>
      </c>
      <c r="C75" s="41">
        <f>IF(ISNUMBER(Auswerteblatt!L73),Auswerteblatt!D73/10^$B$1,C74)</f>
        <v>13</v>
      </c>
      <c r="D75" s="21">
        <f>IF(ISNUMBER(Auswerteblatt!M73),Auswerteblatt!M73,D74)</f>
        <v>1.4096066464289518</v>
      </c>
      <c r="E75" s="173">
        <f t="shared" si="4"/>
        <v>0</v>
      </c>
    </row>
    <row r="76" spans="2:5" x14ac:dyDescent="0.2">
      <c r="B76" s="88">
        <f>IF(ISNUMBER(Auswerteblatt!L74),Auswerteblatt!C74/10^$B$1,B75)</f>
        <v>13</v>
      </c>
      <c r="C76" s="41">
        <f>IF(ISNUMBER(Auswerteblatt!L74),Auswerteblatt!D74/10^$B$1,C75)</f>
        <v>13</v>
      </c>
      <c r="D76" s="21">
        <f>IF(ISNUMBER(Auswerteblatt!M74),Auswerteblatt!M74,D75)</f>
        <v>1.4096066464289518</v>
      </c>
      <c r="E76" s="173">
        <f t="shared" si="4"/>
        <v>0</v>
      </c>
    </row>
    <row r="77" spans="2:5" x14ac:dyDescent="0.2">
      <c r="B77" s="88">
        <f>IF(ISNUMBER(Auswerteblatt!L75),Auswerteblatt!C75/10^$B$1,B76)</f>
        <v>13</v>
      </c>
      <c r="C77" s="41">
        <f>IF(ISNUMBER(Auswerteblatt!L75),Auswerteblatt!D75/10^$B$1,C76)</f>
        <v>13</v>
      </c>
      <c r="D77" s="21">
        <f>IF(ISNUMBER(Auswerteblatt!M75),Auswerteblatt!M75,D76)</f>
        <v>1.4096066464289518</v>
      </c>
      <c r="E77" s="173">
        <f t="shared" si="4"/>
        <v>0</v>
      </c>
    </row>
    <row r="78" spans="2:5" x14ac:dyDescent="0.2">
      <c r="B78" s="88">
        <f>IF(ISNUMBER(Auswerteblatt!L76),Auswerteblatt!C76/10^$B$1,B77)</f>
        <v>13</v>
      </c>
      <c r="C78" s="41">
        <f>IF(ISNUMBER(Auswerteblatt!L76),Auswerteblatt!D76/10^$B$1,C77)</f>
        <v>13</v>
      </c>
      <c r="D78" s="21">
        <f>IF(ISNUMBER(Auswerteblatt!M76),Auswerteblatt!M76,D77)</f>
        <v>1.4096066464289518</v>
      </c>
      <c r="E78" s="173">
        <f t="shared" si="4"/>
        <v>0</v>
      </c>
    </row>
    <row r="79" spans="2:5" x14ac:dyDescent="0.2">
      <c r="B79" s="88">
        <f>IF(ISNUMBER(Auswerteblatt!L77),Auswerteblatt!C77/10^$B$1,B78)</f>
        <v>13</v>
      </c>
      <c r="C79" s="41">
        <f>IF(ISNUMBER(Auswerteblatt!L77),Auswerteblatt!D77/10^$B$1,C78)</f>
        <v>13</v>
      </c>
      <c r="D79" s="21">
        <f>IF(ISNUMBER(Auswerteblatt!M77),Auswerteblatt!M77,D78)</f>
        <v>1.4096066464289518</v>
      </c>
      <c r="E79" s="173">
        <f t="shared" si="4"/>
        <v>0</v>
      </c>
    </row>
    <row r="80" spans="2:5" x14ac:dyDescent="0.2">
      <c r="B80" s="88">
        <f>IF(ISNUMBER(Auswerteblatt!L78),Auswerteblatt!C78/10^$B$1,B79)</f>
        <v>13</v>
      </c>
      <c r="C80" s="41">
        <f>IF(ISNUMBER(Auswerteblatt!L78),Auswerteblatt!D78/10^$B$1,C79)</f>
        <v>13</v>
      </c>
      <c r="D80" s="21">
        <f>IF(ISNUMBER(Auswerteblatt!M78),Auswerteblatt!M78,D79)</f>
        <v>1.4096066464289518</v>
      </c>
      <c r="E80" s="173">
        <f t="shared" si="4"/>
        <v>0</v>
      </c>
    </row>
    <row r="81" spans="2:5" x14ac:dyDescent="0.2">
      <c r="B81" s="88">
        <f>IF(ISNUMBER(Auswerteblatt!L79),Auswerteblatt!C79/10^$B$1,B80)</f>
        <v>13</v>
      </c>
      <c r="C81" s="41">
        <f>IF(ISNUMBER(Auswerteblatt!L79),Auswerteblatt!D79/10^$B$1,C80)</f>
        <v>13</v>
      </c>
      <c r="D81" s="21">
        <f>IF(ISNUMBER(Auswerteblatt!M79),Auswerteblatt!M79,D80)</f>
        <v>1.4096066464289518</v>
      </c>
      <c r="E81" s="173">
        <f t="shared" si="4"/>
        <v>0</v>
      </c>
    </row>
    <row r="82" spans="2:5" x14ac:dyDescent="0.2">
      <c r="B82" s="88">
        <f>IF(ISNUMBER(Auswerteblatt!L80),Auswerteblatt!C80/10^$B$1,B81)</f>
        <v>13</v>
      </c>
      <c r="C82" s="41">
        <f>IF(ISNUMBER(Auswerteblatt!L80),Auswerteblatt!D80/10^$B$1,C81)</f>
        <v>13</v>
      </c>
      <c r="D82" s="21">
        <f>IF(ISNUMBER(Auswerteblatt!M80),Auswerteblatt!M80,D81)</f>
        <v>1.4096066464289518</v>
      </c>
      <c r="E82" s="173">
        <f t="shared" si="4"/>
        <v>0</v>
      </c>
    </row>
    <row r="83" spans="2:5" x14ac:dyDescent="0.2">
      <c r="B83" s="88">
        <f>IF(ISNUMBER(Auswerteblatt!L81),Auswerteblatt!C81/10^$B$1,B82)</f>
        <v>13</v>
      </c>
      <c r="C83" s="41">
        <f>IF(ISNUMBER(Auswerteblatt!L81),Auswerteblatt!D81/10^$B$1,C82)</f>
        <v>13</v>
      </c>
      <c r="D83" s="21">
        <f>IF(ISNUMBER(Auswerteblatt!M81),Auswerteblatt!M81,D82)</f>
        <v>1.4096066464289518</v>
      </c>
      <c r="E83" s="173">
        <f t="shared" si="4"/>
        <v>0</v>
      </c>
    </row>
    <row r="84" spans="2:5" x14ac:dyDescent="0.2">
      <c r="B84" s="88">
        <f>IF(ISNUMBER(Auswerteblatt!L82),Auswerteblatt!C82/10^$B$1,B83)</f>
        <v>13</v>
      </c>
      <c r="C84" s="41">
        <f>IF(ISNUMBER(Auswerteblatt!L82),Auswerteblatt!D82/10^$B$1,C83)</f>
        <v>13</v>
      </c>
      <c r="D84" s="21">
        <f>IF(ISNUMBER(Auswerteblatt!M82),Auswerteblatt!M82,D83)</f>
        <v>1.4096066464289518</v>
      </c>
      <c r="E84" s="173">
        <f t="shared" si="4"/>
        <v>0</v>
      </c>
    </row>
    <row r="85" spans="2:5" x14ac:dyDescent="0.2">
      <c r="B85" s="88">
        <f>IF(ISNUMBER(Auswerteblatt!L83),Auswerteblatt!C83/10^$B$1,B84)</f>
        <v>13</v>
      </c>
      <c r="C85" s="41">
        <f>IF(ISNUMBER(Auswerteblatt!L83),Auswerteblatt!D83/10^$B$1,C84)</f>
        <v>13</v>
      </c>
      <c r="D85" s="21">
        <f>IF(ISNUMBER(Auswerteblatt!M83),Auswerteblatt!M83,D84)</f>
        <v>1.4096066464289518</v>
      </c>
      <c r="E85" s="173">
        <f t="shared" ref="E85:E119" si="8">IF(D85&lt;$B$11,1,0)</f>
        <v>0</v>
      </c>
    </row>
    <row r="86" spans="2:5" x14ac:dyDescent="0.2">
      <c r="B86" s="88">
        <f>IF(ISNUMBER(Auswerteblatt!L84),Auswerteblatt!C84/10^$B$1,B85)</f>
        <v>13</v>
      </c>
      <c r="C86" s="41">
        <f>IF(ISNUMBER(Auswerteblatt!L84),Auswerteblatt!D84/10^$B$1,C85)</f>
        <v>13</v>
      </c>
      <c r="D86" s="21">
        <f>IF(ISNUMBER(Auswerteblatt!M84),Auswerteblatt!M84,D85)</f>
        <v>1.4096066464289518</v>
      </c>
      <c r="E86" s="173">
        <f t="shared" si="8"/>
        <v>0</v>
      </c>
    </row>
    <row r="87" spans="2:5" x14ac:dyDescent="0.2">
      <c r="B87" s="88">
        <f>IF(ISNUMBER(Auswerteblatt!L85),Auswerteblatt!C85/10^$B$1,B86)</f>
        <v>13</v>
      </c>
      <c r="C87" s="41">
        <f>IF(ISNUMBER(Auswerteblatt!L85),Auswerteblatt!D85/10^$B$1,C86)</f>
        <v>13</v>
      </c>
      <c r="D87" s="21">
        <f>IF(ISNUMBER(Auswerteblatt!M85),Auswerteblatt!M85,D86)</f>
        <v>1.4096066464289518</v>
      </c>
      <c r="E87" s="173">
        <f t="shared" si="8"/>
        <v>0</v>
      </c>
    </row>
    <row r="88" spans="2:5" x14ac:dyDescent="0.2">
      <c r="B88" s="88">
        <f>IF(ISNUMBER(Auswerteblatt!L86),Auswerteblatt!C86/10^$B$1,B87)</f>
        <v>13</v>
      </c>
      <c r="C88" s="41">
        <f>IF(ISNUMBER(Auswerteblatt!L86),Auswerteblatt!D86/10^$B$1,C87)</f>
        <v>13</v>
      </c>
      <c r="D88" s="21">
        <f>IF(ISNUMBER(Auswerteblatt!M86),Auswerteblatt!M86,D87)</f>
        <v>1.4096066464289518</v>
      </c>
      <c r="E88" s="173">
        <f t="shared" si="8"/>
        <v>0</v>
      </c>
    </row>
    <row r="89" spans="2:5" x14ac:dyDescent="0.2">
      <c r="B89" s="88">
        <f>IF(ISNUMBER(Auswerteblatt!L87),Auswerteblatt!C87/10^$B$1,B88)</f>
        <v>13</v>
      </c>
      <c r="C89" s="41">
        <f>IF(ISNUMBER(Auswerteblatt!L87),Auswerteblatt!D87/10^$B$1,C88)</f>
        <v>13</v>
      </c>
      <c r="D89" s="21">
        <f>IF(ISNUMBER(Auswerteblatt!M87),Auswerteblatt!M87,D88)</f>
        <v>1.4096066464289518</v>
      </c>
      <c r="E89" s="173">
        <f t="shared" si="8"/>
        <v>0</v>
      </c>
    </row>
    <row r="90" spans="2:5" x14ac:dyDescent="0.2">
      <c r="B90" s="88">
        <f>IF(ISNUMBER(Auswerteblatt!L88),Auswerteblatt!C88/10^$B$1,B89)</f>
        <v>13</v>
      </c>
      <c r="C90" s="41">
        <f>IF(ISNUMBER(Auswerteblatt!L88),Auswerteblatt!D88/10^$B$1,C89)</f>
        <v>13</v>
      </c>
      <c r="D90" s="21">
        <f>IF(ISNUMBER(Auswerteblatt!M88),Auswerteblatt!M88,D89)</f>
        <v>1.4096066464289518</v>
      </c>
      <c r="E90" s="173">
        <f t="shared" si="8"/>
        <v>0</v>
      </c>
    </row>
    <row r="91" spans="2:5" x14ac:dyDescent="0.2">
      <c r="B91" s="88">
        <f>IF(ISNUMBER(Auswerteblatt!L89),Auswerteblatt!C89/10^$B$1,B90)</f>
        <v>13</v>
      </c>
      <c r="C91" s="41">
        <f>IF(ISNUMBER(Auswerteblatt!L89),Auswerteblatt!D89/10^$B$1,C90)</f>
        <v>13</v>
      </c>
      <c r="D91" s="21">
        <f>IF(ISNUMBER(Auswerteblatt!M89),Auswerteblatt!M89,D90)</f>
        <v>1.4096066464289518</v>
      </c>
      <c r="E91" s="173">
        <f t="shared" si="8"/>
        <v>0</v>
      </c>
    </row>
    <row r="92" spans="2:5" x14ac:dyDescent="0.2">
      <c r="B92" s="88">
        <f>IF(ISNUMBER(Auswerteblatt!L90),Auswerteblatt!C90/10^$B$1,B91)</f>
        <v>13</v>
      </c>
      <c r="C92" s="41">
        <f>IF(ISNUMBER(Auswerteblatt!L90),Auswerteblatt!D90/10^$B$1,C91)</f>
        <v>13</v>
      </c>
      <c r="D92" s="21">
        <f>IF(ISNUMBER(Auswerteblatt!M90),Auswerteblatt!M90,D91)</f>
        <v>1.4096066464289518</v>
      </c>
      <c r="E92" s="173">
        <f t="shared" si="8"/>
        <v>0</v>
      </c>
    </row>
    <row r="93" spans="2:5" x14ac:dyDescent="0.2">
      <c r="B93" s="88">
        <f>IF(ISNUMBER(Auswerteblatt!L91),Auswerteblatt!C91/10^$B$1,B92)</f>
        <v>13</v>
      </c>
      <c r="C93" s="41">
        <f>IF(ISNUMBER(Auswerteblatt!L91),Auswerteblatt!D91/10^$B$1,C92)</f>
        <v>13</v>
      </c>
      <c r="D93" s="21">
        <f>IF(ISNUMBER(Auswerteblatt!M91),Auswerteblatt!M91,D92)</f>
        <v>1.4096066464289518</v>
      </c>
      <c r="E93" s="173">
        <f t="shared" si="8"/>
        <v>0</v>
      </c>
    </row>
    <row r="94" spans="2:5" x14ac:dyDescent="0.2">
      <c r="B94" s="88">
        <f>IF(ISNUMBER(Auswerteblatt!L92),Auswerteblatt!C92/10^$B$1,B93)</f>
        <v>13</v>
      </c>
      <c r="C94" s="41">
        <f>IF(ISNUMBER(Auswerteblatt!L92),Auswerteblatt!D92/10^$B$1,C93)</f>
        <v>13</v>
      </c>
      <c r="D94" s="21">
        <f>IF(ISNUMBER(Auswerteblatt!M92),Auswerteblatt!M92,D93)</f>
        <v>1.4096066464289518</v>
      </c>
      <c r="E94" s="173">
        <f t="shared" si="8"/>
        <v>0</v>
      </c>
    </row>
    <row r="95" spans="2:5" x14ac:dyDescent="0.2">
      <c r="B95" s="88">
        <f>IF(ISNUMBER(Auswerteblatt!L93),Auswerteblatt!C93/10^$B$1,B94)</f>
        <v>13</v>
      </c>
      <c r="C95" s="41">
        <f>IF(ISNUMBER(Auswerteblatt!L93),Auswerteblatt!D93/10^$B$1,C94)</f>
        <v>13</v>
      </c>
      <c r="D95" s="21">
        <f>IF(ISNUMBER(Auswerteblatt!M93),Auswerteblatt!M93,D94)</f>
        <v>1.4096066464289518</v>
      </c>
      <c r="E95" s="173">
        <f t="shared" si="8"/>
        <v>0</v>
      </c>
    </row>
    <row r="96" spans="2:5" x14ac:dyDescent="0.2">
      <c r="B96" s="88">
        <f>IF(ISNUMBER(Auswerteblatt!L94),Auswerteblatt!C94/10^$B$1,B95)</f>
        <v>13</v>
      </c>
      <c r="C96" s="41">
        <f>IF(ISNUMBER(Auswerteblatt!L94),Auswerteblatt!D94/10^$B$1,C95)</f>
        <v>13</v>
      </c>
      <c r="D96" s="21">
        <f>IF(ISNUMBER(Auswerteblatt!M94),Auswerteblatt!M94,D95)</f>
        <v>1.4096066464289518</v>
      </c>
      <c r="E96" s="173">
        <f t="shared" si="8"/>
        <v>0</v>
      </c>
    </row>
    <row r="97" spans="2:5" x14ac:dyDescent="0.2">
      <c r="B97" s="88">
        <f>IF(ISNUMBER(Auswerteblatt!L95),Auswerteblatt!C95/10^$B$1,B96)</f>
        <v>13</v>
      </c>
      <c r="C97" s="41">
        <f>IF(ISNUMBER(Auswerteblatt!L95),Auswerteblatt!D95/10^$B$1,C96)</f>
        <v>13</v>
      </c>
      <c r="D97" s="21">
        <f>IF(ISNUMBER(Auswerteblatt!M95),Auswerteblatt!M95,D96)</f>
        <v>1.4096066464289518</v>
      </c>
      <c r="E97" s="173">
        <f t="shared" si="8"/>
        <v>0</v>
      </c>
    </row>
    <row r="98" spans="2:5" x14ac:dyDescent="0.2">
      <c r="B98" s="88">
        <f>IF(ISNUMBER(Auswerteblatt!L96),Auswerteblatt!C96/10^$B$1,B97)</f>
        <v>13</v>
      </c>
      <c r="C98" s="41">
        <f>IF(ISNUMBER(Auswerteblatt!L96),Auswerteblatt!D96/10^$B$1,C97)</f>
        <v>13</v>
      </c>
      <c r="D98" s="21">
        <f>IF(ISNUMBER(Auswerteblatt!M96),Auswerteblatt!M96,D97)</f>
        <v>1.4096066464289518</v>
      </c>
      <c r="E98" s="173">
        <f t="shared" si="8"/>
        <v>0</v>
      </c>
    </row>
    <row r="99" spans="2:5" x14ac:dyDescent="0.2">
      <c r="B99" s="88">
        <f>IF(ISNUMBER(Auswerteblatt!L97),Auswerteblatt!C97/10^$B$1,B98)</f>
        <v>13</v>
      </c>
      <c r="C99" s="41">
        <f>IF(ISNUMBER(Auswerteblatt!L97),Auswerteblatt!D97/10^$B$1,C98)</f>
        <v>13</v>
      </c>
      <c r="D99" s="21">
        <f>IF(ISNUMBER(Auswerteblatt!M97),Auswerteblatt!M97,D98)</f>
        <v>1.4096066464289518</v>
      </c>
      <c r="E99" s="173">
        <f t="shared" si="8"/>
        <v>0</v>
      </c>
    </row>
    <row r="100" spans="2:5" x14ac:dyDescent="0.2">
      <c r="B100" s="88">
        <f>IF(ISNUMBER(Auswerteblatt!L98),Auswerteblatt!C98/10^$B$1,B99)</f>
        <v>13</v>
      </c>
      <c r="C100" s="41">
        <f>IF(ISNUMBER(Auswerteblatt!L98),Auswerteblatt!D98/10^$B$1,C99)</f>
        <v>13</v>
      </c>
      <c r="D100" s="21">
        <f>IF(ISNUMBER(Auswerteblatt!M98),Auswerteblatt!M98,D99)</f>
        <v>1.4096066464289518</v>
      </c>
      <c r="E100" s="173">
        <f t="shared" si="8"/>
        <v>0</v>
      </c>
    </row>
    <row r="101" spans="2:5" x14ac:dyDescent="0.2">
      <c r="B101" s="88">
        <f>IF(ISNUMBER(Auswerteblatt!L99),Auswerteblatt!C99/10^$B$1,B100)</f>
        <v>13</v>
      </c>
      <c r="C101" s="41">
        <f>IF(ISNUMBER(Auswerteblatt!L99),Auswerteblatt!D99/10^$B$1,C100)</f>
        <v>13</v>
      </c>
      <c r="D101" s="21">
        <f>IF(ISNUMBER(Auswerteblatt!M99),Auswerteblatt!M99,D100)</f>
        <v>1.4096066464289518</v>
      </c>
      <c r="E101" s="173">
        <f t="shared" si="8"/>
        <v>0</v>
      </c>
    </row>
    <row r="102" spans="2:5" x14ac:dyDescent="0.2">
      <c r="B102" s="88">
        <f>IF(ISNUMBER(Auswerteblatt!L100),Auswerteblatt!C100/10^$B$1,B101)</f>
        <v>13</v>
      </c>
      <c r="C102" s="41">
        <f>IF(ISNUMBER(Auswerteblatt!L100),Auswerteblatt!D100/10^$B$1,C101)</f>
        <v>13</v>
      </c>
      <c r="D102" s="21">
        <f>IF(ISNUMBER(Auswerteblatt!M100),Auswerteblatt!M100,D101)</f>
        <v>1.4096066464289518</v>
      </c>
      <c r="E102" s="173">
        <f t="shared" si="8"/>
        <v>0</v>
      </c>
    </row>
    <row r="103" spans="2:5" x14ac:dyDescent="0.2">
      <c r="B103" s="88">
        <f>IF(ISNUMBER(Auswerteblatt!L101),Auswerteblatt!C101/10^$B$1,B102)</f>
        <v>13</v>
      </c>
      <c r="C103" s="41">
        <f>IF(ISNUMBER(Auswerteblatt!L101),Auswerteblatt!D101/10^$B$1,C102)</f>
        <v>13</v>
      </c>
      <c r="D103" s="21">
        <f>IF(ISNUMBER(Auswerteblatt!M101),Auswerteblatt!M101,D102)</f>
        <v>1.4096066464289518</v>
      </c>
      <c r="E103" s="173">
        <f t="shared" si="8"/>
        <v>0</v>
      </c>
    </row>
    <row r="104" spans="2:5" x14ac:dyDescent="0.2">
      <c r="B104" s="88">
        <f>IF(ISNUMBER(Auswerteblatt!L102),Auswerteblatt!C102/10^$B$1,B103)</f>
        <v>13</v>
      </c>
      <c r="C104" s="41">
        <f>IF(ISNUMBER(Auswerteblatt!L102),Auswerteblatt!D102/10^$B$1,C103)</f>
        <v>13</v>
      </c>
      <c r="D104" s="21">
        <f>IF(ISNUMBER(Auswerteblatt!M102),Auswerteblatt!M102,D103)</f>
        <v>1.4096066464289518</v>
      </c>
      <c r="E104" s="173">
        <f t="shared" si="8"/>
        <v>0</v>
      </c>
    </row>
    <row r="105" spans="2:5" x14ac:dyDescent="0.2">
      <c r="B105" s="88">
        <f>IF(ISNUMBER(Auswerteblatt!L103),Auswerteblatt!C103/10^$B$1,B104)</f>
        <v>13</v>
      </c>
      <c r="C105" s="41">
        <f>IF(ISNUMBER(Auswerteblatt!L103),Auswerteblatt!D103/10^$B$1,C104)</f>
        <v>13</v>
      </c>
      <c r="D105" s="21">
        <f>IF(ISNUMBER(Auswerteblatt!M103),Auswerteblatt!M103,D104)</f>
        <v>1.4096066464289518</v>
      </c>
      <c r="E105" s="173">
        <f t="shared" si="8"/>
        <v>0</v>
      </c>
    </row>
    <row r="106" spans="2:5" x14ac:dyDescent="0.2">
      <c r="B106" s="88">
        <f>IF(ISNUMBER(Auswerteblatt!L104),Auswerteblatt!C104/10^$B$1,B105)</f>
        <v>13</v>
      </c>
      <c r="C106" s="41">
        <f>IF(ISNUMBER(Auswerteblatt!L104),Auswerteblatt!D104/10^$B$1,C105)</f>
        <v>13</v>
      </c>
      <c r="D106" s="21">
        <f>IF(ISNUMBER(Auswerteblatt!M104),Auswerteblatt!M104,D105)</f>
        <v>1.4096066464289518</v>
      </c>
      <c r="E106" s="173">
        <f t="shared" si="8"/>
        <v>0</v>
      </c>
    </row>
    <row r="107" spans="2:5" x14ac:dyDescent="0.2">
      <c r="B107" s="88">
        <f>IF(ISNUMBER(Auswerteblatt!L105),Auswerteblatt!C105/10^$B$1,B106)</f>
        <v>13</v>
      </c>
      <c r="C107" s="41">
        <f>IF(ISNUMBER(Auswerteblatt!L105),Auswerteblatt!D105/10^$B$1,C106)</f>
        <v>13</v>
      </c>
      <c r="D107" s="21">
        <f>IF(ISNUMBER(Auswerteblatt!M105),Auswerteblatt!M105,D106)</f>
        <v>1.4096066464289518</v>
      </c>
      <c r="E107" s="173">
        <f t="shared" si="8"/>
        <v>0</v>
      </c>
    </row>
    <row r="108" spans="2:5" x14ac:dyDescent="0.2">
      <c r="B108" s="88">
        <f>IF(ISNUMBER(Auswerteblatt!L106),Auswerteblatt!C106/10^$B$1,B107)</f>
        <v>13</v>
      </c>
      <c r="C108" s="41">
        <f>IF(ISNUMBER(Auswerteblatt!L106),Auswerteblatt!D106/10^$B$1,C107)</f>
        <v>13</v>
      </c>
      <c r="D108" s="21">
        <f>IF(ISNUMBER(Auswerteblatt!M106),Auswerteblatt!M106,D107)</f>
        <v>1.4096066464289518</v>
      </c>
      <c r="E108" s="173">
        <f t="shared" si="8"/>
        <v>0</v>
      </c>
    </row>
    <row r="109" spans="2:5" x14ac:dyDescent="0.2">
      <c r="B109" s="88">
        <f>IF(ISNUMBER(Auswerteblatt!L107),Auswerteblatt!C107/10^$B$1,B108)</f>
        <v>13</v>
      </c>
      <c r="C109" s="41">
        <f>IF(ISNUMBER(Auswerteblatt!L107),Auswerteblatt!D107/10^$B$1,C108)</f>
        <v>13</v>
      </c>
      <c r="D109" s="21">
        <f>IF(ISNUMBER(Auswerteblatt!M107),Auswerteblatt!M107,D108)</f>
        <v>1.4096066464289518</v>
      </c>
      <c r="E109" s="173">
        <f t="shared" si="8"/>
        <v>0</v>
      </c>
    </row>
    <row r="110" spans="2:5" x14ac:dyDescent="0.2">
      <c r="B110" s="88">
        <f>IF(ISNUMBER(Auswerteblatt!L108),Auswerteblatt!C108/10^$B$1,B109)</f>
        <v>13</v>
      </c>
      <c r="C110" s="41">
        <f>IF(ISNUMBER(Auswerteblatt!L108),Auswerteblatt!D108/10^$B$1,C109)</f>
        <v>13</v>
      </c>
      <c r="D110" s="21">
        <f>IF(ISNUMBER(Auswerteblatt!M108),Auswerteblatt!M108,D109)</f>
        <v>1.4096066464289518</v>
      </c>
      <c r="E110" s="173">
        <f t="shared" si="8"/>
        <v>0</v>
      </c>
    </row>
    <row r="111" spans="2:5" x14ac:dyDescent="0.2">
      <c r="B111" s="88">
        <f>IF(ISNUMBER(Auswerteblatt!L109),Auswerteblatt!C109/10^$B$1,B110)</f>
        <v>13</v>
      </c>
      <c r="C111" s="41">
        <f>IF(ISNUMBER(Auswerteblatt!L109),Auswerteblatt!D109/10^$B$1,C110)</f>
        <v>13</v>
      </c>
      <c r="D111" s="21">
        <f>IF(ISNUMBER(Auswerteblatt!M109),Auswerteblatt!M109,D110)</f>
        <v>1.4096066464289518</v>
      </c>
      <c r="E111" s="173">
        <f t="shared" si="8"/>
        <v>0</v>
      </c>
    </row>
    <row r="112" spans="2:5" x14ac:dyDescent="0.2">
      <c r="B112" s="88">
        <f>IF(ISNUMBER(Auswerteblatt!L110),Auswerteblatt!C110/10^$B$1,B111)</f>
        <v>13</v>
      </c>
      <c r="C112" s="41">
        <f>IF(ISNUMBER(Auswerteblatt!L110),Auswerteblatt!D110/10^$B$1,C111)</f>
        <v>13</v>
      </c>
      <c r="D112" s="21">
        <f>IF(ISNUMBER(Auswerteblatt!M110),Auswerteblatt!M110,D111)</f>
        <v>1.4096066464289518</v>
      </c>
      <c r="E112" s="173">
        <f t="shared" si="8"/>
        <v>0</v>
      </c>
    </row>
    <row r="113" spans="2:5" x14ac:dyDescent="0.2">
      <c r="B113" s="88">
        <f>IF(ISNUMBER(Auswerteblatt!L111),Auswerteblatt!C111/10^$B$1,B112)</f>
        <v>13</v>
      </c>
      <c r="C113" s="41">
        <f>IF(ISNUMBER(Auswerteblatt!L111),Auswerteblatt!D111/10^$B$1,C112)</f>
        <v>13</v>
      </c>
      <c r="D113" s="21">
        <f>IF(ISNUMBER(Auswerteblatt!M111),Auswerteblatt!M111,D112)</f>
        <v>1.4096066464289518</v>
      </c>
      <c r="E113" s="173">
        <f t="shared" si="8"/>
        <v>0</v>
      </c>
    </row>
    <row r="114" spans="2:5" x14ac:dyDescent="0.2">
      <c r="B114" s="88">
        <f>IF(ISNUMBER(Auswerteblatt!L112),Auswerteblatt!C112/10^$B$1,B113)</f>
        <v>13</v>
      </c>
      <c r="C114" s="41">
        <f>IF(ISNUMBER(Auswerteblatt!L112),Auswerteblatt!D112/10^$B$1,C113)</f>
        <v>13</v>
      </c>
      <c r="D114" s="21">
        <f>IF(ISNUMBER(Auswerteblatt!M112),Auswerteblatt!M112,D113)</f>
        <v>1.4096066464289518</v>
      </c>
      <c r="E114" s="173">
        <f t="shared" si="8"/>
        <v>0</v>
      </c>
    </row>
    <row r="115" spans="2:5" x14ac:dyDescent="0.2">
      <c r="B115" s="88">
        <f>IF(ISNUMBER(Auswerteblatt!L113),Auswerteblatt!C113/10^$B$1,B114)</f>
        <v>13</v>
      </c>
      <c r="C115" s="41">
        <f>IF(ISNUMBER(Auswerteblatt!L113),Auswerteblatt!D113/10^$B$1,C114)</f>
        <v>13</v>
      </c>
      <c r="D115" s="21">
        <f>IF(ISNUMBER(Auswerteblatt!M113),Auswerteblatt!M113,D114)</f>
        <v>1.4096066464289518</v>
      </c>
      <c r="E115" s="173">
        <f t="shared" si="8"/>
        <v>0</v>
      </c>
    </row>
    <row r="116" spans="2:5" x14ac:dyDescent="0.2">
      <c r="B116" s="88">
        <f>IF(ISNUMBER(Auswerteblatt!L114),Auswerteblatt!C114/10^$B$1,B115)</f>
        <v>13</v>
      </c>
      <c r="C116" s="41">
        <f>IF(ISNUMBER(Auswerteblatt!L114),Auswerteblatt!D114/10^$B$1,C115)</f>
        <v>13</v>
      </c>
      <c r="D116" s="21">
        <f>IF(ISNUMBER(Auswerteblatt!M114),Auswerteblatt!M114,D115)</f>
        <v>1.4096066464289518</v>
      </c>
      <c r="E116" s="173">
        <f t="shared" si="8"/>
        <v>0</v>
      </c>
    </row>
    <row r="117" spans="2:5" x14ac:dyDescent="0.2">
      <c r="B117" s="88">
        <f>IF(ISNUMBER(Auswerteblatt!L115),Auswerteblatt!C115/10^$B$1,B116)</f>
        <v>13</v>
      </c>
      <c r="C117" s="41">
        <f>IF(ISNUMBER(Auswerteblatt!L115),Auswerteblatt!D115/10^$B$1,C116)</f>
        <v>13</v>
      </c>
      <c r="D117" s="21">
        <f>IF(ISNUMBER(Auswerteblatt!M115),Auswerteblatt!M115,D116)</f>
        <v>1.4096066464289518</v>
      </c>
      <c r="E117" s="173">
        <f t="shared" si="8"/>
        <v>0</v>
      </c>
    </row>
    <row r="118" spans="2:5" x14ac:dyDescent="0.2">
      <c r="B118" s="88">
        <f>IF(ISNUMBER(Auswerteblatt!L116),Auswerteblatt!C116/10^$B$1,B117)</f>
        <v>13</v>
      </c>
      <c r="C118" s="41">
        <f>IF(ISNUMBER(Auswerteblatt!L116),Auswerteblatt!D116/10^$B$1,C117)</f>
        <v>13</v>
      </c>
      <c r="D118" s="21">
        <f>IF(ISNUMBER(Auswerteblatt!M116),Auswerteblatt!M116,D117)</f>
        <v>1.4096066464289518</v>
      </c>
      <c r="E118" s="173">
        <f t="shared" si="8"/>
        <v>0</v>
      </c>
    </row>
    <row r="119" spans="2:5" x14ac:dyDescent="0.2">
      <c r="B119" s="88">
        <f>IF(ISNUMBER(Auswerteblatt!L117),Auswerteblatt!C117/10^$B$1,B118)</f>
        <v>13</v>
      </c>
      <c r="C119" s="41">
        <f>IF(ISNUMBER(Auswerteblatt!L117),Auswerteblatt!D117/10^$B$1,C118)</f>
        <v>13</v>
      </c>
      <c r="D119" s="21">
        <f>IF(ISNUMBER(Auswerteblatt!M117),Auswerteblatt!M117,D118)</f>
        <v>1.4096066464289518</v>
      </c>
      <c r="E119" s="173">
        <f t="shared" si="8"/>
        <v>0</v>
      </c>
    </row>
  </sheetData>
  <mergeCells count="7">
    <mergeCell ref="L30:M30"/>
    <mergeCell ref="L26:M26"/>
    <mergeCell ref="N19:P19"/>
    <mergeCell ref="F19:H19"/>
    <mergeCell ref="I19:K19"/>
    <mergeCell ref="L19:M19"/>
    <mergeCell ref="L23:M23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93"/>
  <sheetViews>
    <sheetView workbookViewId="0">
      <selection activeCell="C11" sqref="C11"/>
    </sheetView>
  </sheetViews>
  <sheetFormatPr baseColWidth="10" defaultRowHeight="12.75" x14ac:dyDescent="0.2"/>
  <cols>
    <col min="1" max="1" width="0.85546875" customWidth="1"/>
    <col min="2" max="2" width="43.42578125" customWidth="1"/>
    <col min="3" max="3" width="12.28515625" bestFit="1" customWidth="1"/>
  </cols>
  <sheetData>
    <row r="1" spans="2:10" ht="18" x14ac:dyDescent="0.25">
      <c r="B1" s="179" t="s">
        <v>131</v>
      </c>
    </row>
    <row r="4" spans="2:10" x14ac:dyDescent="0.2">
      <c r="B4" t="s">
        <v>59</v>
      </c>
      <c r="C4" s="133">
        <f>Auswerteblatt!C4</f>
        <v>4.0664522363325082</v>
      </c>
    </row>
    <row r="5" spans="2:10" x14ac:dyDescent="0.2">
      <c r="B5" t="s">
        <v>89</v>
      </c>
      <c r="C5" s="133">
        <f>Auswerteblatt!C5</f>
        <v>0</v>
      </c>
    </row>
    <row r="6" spans="2:10" x14ac:dyDescent="0.2">
      <c r="B6" t="s">
        <v>63</v>
      </c>
      <c r="C6" s="133">
        <f>Auswerteblatt!C6</f>
        <v>94.061105760299242</v>
      </c>
    </row>
    <row r="7" spans="2:10" x14ac:dyDescent="0.2">
      <c r="B7" t="s">
        <v>76</v>
      </c>
      <c r="C7" s="133">
        <f>Auswerteblatt!C7</f>
        <v>94.061105760299242</v>
      </c>
    </row>
    <row r="9" spans="2:10" ht="13.5" thickBot="1" x14ac:dyDescent="0.25"/>
    <row r="10" spans="2:10" ht="18" x14ac:dyDescent="0.25">
      <c r="B10" s="157" t="s">
        <v>96</v>
      </c>
      <c r="C10" s="111"/>
      <c r="D10" s="111"/>
      <c r="E10" s="111"/>
      <c r="F10" s="111"/>
      <c r="G10" s="111"/>
      <c r="H10" s="111"/>
      <c r="I10" s="111"/>
      <c r="J10" s="102"/>
    </row>
    <row r="11" spans="2:10" x14ac:dyDescent="0.2">
      <c r="B11" s="153" t="s">
        <v>69</v>
      </c>
      <c r="C11" s="170">
        <v>30</v>
      </c>
      <c r="D11" s="8" t="str">
        <f>Auswerteblatt!$H$5</f>
        <v>in 1000 km</v>
      </c>
      <c r="E11" s="8"/>
      <c r="F11" s="8"/>
      <c r="G11" s="8"/>
      <c r="H11" s="8"/>
      <c r="I11" s="8"/>
      <c r="J11" s="110"/>
    </row>
    <row r="12" spans="2:10" x14ac:dyDescent="0.2">
      <c r="B12" s="109"/>
      <c r="C12" s="8"/>
      <c r="D12" s="8"/>
      <c r="E12" s="8"/>
      <c r="F12" s="8"/>
      <c r="G12" s="8"/>
      <c r="H12" s="8"/>
      <c r="I12" s="8"/>
      <c r="J12" s="110"/>
    </row>
    <row r="13" spans="2:10" x14ac:dyDescent="0.2">
      <c r="B13" s="109"/>
      <c r="C13" s="8"/>
      <c r="D13" s="8"/>
      <c r="E13" s="8"/>
      <c r="F13" s="8"/>
      <c r="G13" s="8"/>
      <c r="H13" s="8"/>
      <c r="I13" s="8"/>
      <c r="J13" s="110"/>
    </row>
    <row r="14" spans="2:10" x14ac:dyDescent="0.2">
      <c r="B14" s="153" t="s">
        <v>71</v>
      </c>
      <c r="C14" s="149">
        <f>IF(C11&lt;C5,1,EXP(-(((C11-C5)/(C6-C5))^C4)))</f>
        <v>0.99045481838480398</v>
      </c>
      <c r="D14" s="8"/>
      <c r="E14" s="8"/>
      <c r="F14" s="8"/>
      <c r="G14" s="8"/>
      <c r="H14" s="8"/>
      <c r="I14" s="8"/>
      <c r="J14" s="110"/>
    </row>
    <row r="15" spans="2:10" x14ac:dyDescent="0.2">
      <c r="B15" s="109"/>
      <c r="C15" s="8"/>
      <c r="D15" s="8"/>
      <c r="E15" s="8"/>
      <c r="F15" s="8"/>
      <c r="G15" s="8"/>
      <c r="H15" s="8"/>
      <c r="I15" s="8"/>
      <c r="J15" s="110"/>
    </row>
    <row r="16" spans="2:10" x14ac:dyDescent="0.2">
      <c r="B16" s="153" t="s">
        <v>70</v>
      </c>
      <c r="C16" s="149">
        <f>1-C14</f>
        <v>9.5451816151960189E-3</v>
      </c>
      <c r="D16" s="8"/>
      <c r="E16" s="8"/>
      <c r="F16" s="8"/>
      <c r="G16" s="8"/>
      <c r="H16" s="8"/>
      <c r="I16" s="8"/>
      <c r="J16" s="110"/>
    </row>
    <row r="17" spans="2:10" x14ac:dyDescent="0.2">
      <c r="B17" s="153"/>
      <c r="C17" s="150"/>
      <c r="D17" s="8"/>
      <c r="E17" s="8"/>
      <c r="F17" s="8"/>
      <c r="G17" s="8"/>
      <c r="H17" s="8"/>
      <c r="I17" s="8"/>
      <c r="J17" s="110"/>
    </row>
    <row r="18" spans="2:10" x14ac:dyDescent="0.2">
      <c r="B18" s="109"/>
      <c r="C18" s="8"/>
      <c r="D18" s="8"/>
      <c r="E18" s="8"/>
      <c r="F18" s="8"/>
      <c r="G18" s="8"/>
      <c r="H18" s="8"/>
      <c r="I18" s="8"/>
      <c r="J18" s="110"/>
    </row>
    <row r="19" spans="2:10" x14ac:dyDescent="0.2">
      <c r="B19" s="153" t="s">
        <v>72</v>
      </c>
      <c r="C19" s="151">
        <f>IF(C11&gt;C5,(C4/C7*((C11-C5)/C7)^(C4-1))/Daten!B4,0)</f>
        <v>1.3000486893363406E-6</v>
      </c>
      <c r="D19" s="8" t="str">
        <f>CONCATENATE(" in ",Daten!C4,"^(-1)")</f>
        <v xml:space="preserve"> in km^(-1)</v>
      </c>
      <c r="E19" s="8"/>
      <c r="F19" s="8"/>
      <c r="G19" s="8"/>
      <c r="H19" s="8"/>
      <c r="I19" s="8"/>
      <c r="J19" s="110"/>
    </row>
    <row r="20" spans="2:10" x14ac:dyDescent="0.2">
      <c r="B20" s="109"/>
      <c r="C20" s="8"/>
      <c r="D20" s="8"/>
      <c r="E20" s="8"/>
      <c r="F20" s="8"/>
      <c r="G20" s="8"/>
      <c r="H20" s="8"/>
      <c r="I20" s="8"/>
      <c r="J20" s="110"/>
    </row>
    <row r="21" spans="2:10" x14ac:dyDescent="0.2">
      <c r="B21" s="155"/>
      <c r="C21" s="34"/>
      <c r="D21" s="34"/>
      <c r="E21" s="34"/>
      <c r="F21" s="34"/>
      <c r="G21" s="34"/>
      <c r="H21" s="34"/>
      <c r="I21" s="34"/>
      <c r="J21" s="156"/>
    </row>
    <row r="22" spans="2:10" ht="15.75" x14ac:dyDescent="0.25">
      <c r="B22" s="158" t="s">
        <v>97</v>
      </c>
      <c r="C22" s="8"/>
      <c r="D22" s="8"/>
      <c r="E22" s="8"/>
      <c r="F22" s="8"/>
      <c r="G22" s="8"/>
      <c r="H22" s="8"/>
      <c r="I22" s="8"/>
      <c r="J22" s="110"/>
    </row>
    <row r="23" spans="2:10" x14ac:dyDescent="0.2">
      <c r="B23" s="153" t="s">
        <v>98</v>
      </c>
      <c r="C23" s="170">
        <v>1</v>
      </c>
      <c r="D23" s="152" t="s">
        <v>90</v>
      </c>
      <c r="E23" s="8"/>
      <c r="F23" s="8"/>
      <c r="G23" s="8"/>
      <c r="H23" s="8"/>
      <c r="I23" s="8"/>
      <c r="J23" s="110"/>
    </row>
    <row r="24" spans="2:10" x14ac:dyDescent="0.2">
      <c r="B24" s="153" t="s">
        <v>91</v>
      </c>
      <c r="C24" s="170">
        <v>0</v>
      </c>
      <c r="D24" s="8" t="s">
        <v>93</v>
      </c>
      <c r="E24" s="8"/>
      <c r="F24" s="8"/>
      <c r="G24" s="8"/>
      <c r="H24" s="8"/>
      <c r="I24" s="8"/>
      <c r="J24" s="110"/>
    </row>
    <row r="25" spans="2:10" x14ac:dyDescent="0.2">
      <c r="B25" s="153" t="s">
        <v>92</v>
      </c>
      <c r="C25" s="8"/>
      <c r="D25" s="8"/>
      <c r="E25" s="8"/>
      <c r="F25" s="8"/>
      <c r="G25" s="8"/>
      <c r="H25" s="8"/>
      <c r="I25" s="8"/>
      <c r="J25" s="110"/>
    </row>
    <row r="26" spans="2:10" x14ac:dyDescent="0.2">
      <c r="B26" s="109"/>
      <c r="C26" s="8"/>
      <c r="D26" s="8"/>
      <c r="E26" s="8"/>
      <c r="F26" s="8"/>
      <c r="G26" s="8"/>
      <c r="H26" s="8"/>
      <c r="I26" s="8"/>
      <c r="J26" s="110"/>
    </row>
    <row r="27" spans="2:10" ht="15.75" x14ac:dyDescent="0.3">
      <c r="B27" s="153" t="s">
        <v>95</v>
      </c>
      <c r="C27" s="149">
        <f>BINOMDIST(C24,C23,C16,1)</f>
        <v>0.99045481838480398</v>
      </c>
      <c r="D27" s="8"/>
      <c r="E27" s="8"/>
      <c r="F27" s="8"/>
      <c r="G27" s="8"/>
      <c r="H27" s="8"/>
      <c r="I27" s="8"/>
      <c r="J27" s="110"/>
    </row>
    <row r="28" spans="2:10" x14ac:dyDescent="0.2">
      <c r="B28" s="109"/>
      <c r="C28" s="8"/>
      <c r="D28" s="8"/>
      <c r="E28" s="8"/>
      <c r="F28" s="8"/>
      <c r="G28" s="8"/>
      <c r="H28" s="8"/>
      <c r="I28" s="8"/>
      <c r="J28" s="110"/>
    </row>
    <row r="29" spans="2:10" ht="15.75" x14ac:dyDescent="0.3">
      <c r="B29" s="153" t="s">
        <v>94</v>
      </c>
      <c r="C29" s="154">
        <f>1-C27</f>
        <v>9.5451816151960189E-3</v>
      </c>
      <c r="D29" s="8"/>
      <c r="E29" s="8"/>
      <c r="F29" s="8"/>
      <c r="G29" s="8"/>
      <c r="H29" s="8"/>
      <c r="I29" s="8"/>
      <c r="J29" s="110"/>
    </row>
    <row r="30" spans="2:10" ht="13.5" thickBot="1" x14ac:dyDescent="0.25">
      <c r="B30" s="103"/>
      <c r="C30" s="112"/>
      <c r="D30" s="112"/>
      <c r="E30" s="112"/>
      <c r="F30" s="112"/>
      <c r="G30" s="112"/>
      <c r="H30" s="112"/>
      <c r="I30" s="112"/>
      <c r="J30" s="104"/>
    </row>
    <row r="31" spans="2:10" x14ac:dyDescent="0.2">
      <c r="B31" s="8"/>
      <c r="C31" s="8"/>
      <c r="D31" s="8"/>
      <c r="E31" s="8"/>
      <c r="F31" s="8"/>
      <c r="G31" s="8"/>
      <c r="H31" s="8"/>
      <c r="I31" s="8"/>
      <c r="J31" s="8"/>
    </row>
    <row r="32" spans="2:10" ht="13.5" thickBot="1" x14ac:dyDescent="0.25"/>
    <row r="33" spans="2:10" ht="18" x14ac:dyDescent="0.25">
      <c r="B33" s="157" t="s">
        <v>104</v>
      </c>
      <c r="C33" s="111"/>
      <c r="D33" s="111"/>
      <c r="E33" s="111"/>
      <c r="F33" s="111"/>
      <c r="G33" s="111"/>
      <c r="H33" s="111"/>
      <c r="I33" s="111"/>
      <c r="J33" s="102"/>
    </row>
    <row r="34" spans="2:10" x14ac:dyDescent="0.2">
      <c r="B34" s="109"/>
      <c r="C34" s="8"/>
      <c r="D34" s="8"/>
      <c r="E34" s="8"/>
      <c r="F34" s="8"/>
      <c r="G34" s="8"/>
      <c r="H34" s="8"/>
      <c r="I34" s="8"/>
      <c r="J34" s="110"/>
    </row>
    <row r="35" spans="2:10" x14ac:dyDescent="0.2">
      <c r="B35" s="153" t="s">
        <v>105</v>
      </c>
      <c r="C35" s="170">
        <v>0.9</v>
      </c>
      <c r="D35" s="8"/>
      <c r="E35" s="8"/>
      <c r="F35" s="8"/>
      <c r="G35" s="8"/>
      <c r="H35" s="8"/>
      <c r="I35" s="8"/>
      <c r="J35" s="110"/>
    </row>
    <row r="36" spans="2:10" x14ac:dyDescent="0.2">
      <c r="B36" s="109"/>
      <c r="C36" s="8"/>
      <c r="D36" s="8"/>
      <c r="E36" s="8"/>
      <c r="F36" s="8"/>
      <c r="G36" s="8"/>
      <c r="H36" s="8"/>
      <c r="I36" s="8"/>
      <c r="J36" s="110"/>
    </row>
    <row r="37" spans="2:10" x14ac:dyDescent="0.2">
      <c r="B37" s="153" t="s">
        <v>106</v>
      </c>
      <c r="C37" s="161">
        <f>C7*(-LN(C35))^(1/C4)+C5</f>
        <v>54.084435049959581</v>
      </c>
      <c r="D37" s="8" t="str">
        <f>Auswerteblatt!$H$5</f>
        <v>in 1000 km</v>
      </c>
      <c r="E37" s="8"/>
      <c r="F37" s="8"/>
      <c r="G37" s="8"/>
      <c r="H37" s="8"/>
      <c r="I37" s="8"/>
      <c r="J37" s="110"/>
    </row>
    <row r="38" spans="2:10" ht="13.5" thickBot="1" x14ac:dyDescent="0.25">
      <c r="B38" s="103"/>
      <c r="C38" s="112"/>
      <c r="D38" s="112"/>
      <c r="E38" s="112"/>
      <c r="F38" s="112"/>
      <c r="G38" s="112"/>
      <c r="H38" s="112"/>
      <c r="I38" s="112"/>
      <c r="J38" s="104"/>
    </row>
    <row r="40" spans="2:10" ht="13.5" thickBot="1" x14ac:dyDescent="0.25"/>
    <row r="41" spans="2:10" ht="18" x14ac:dyDescent="0.25">
      <c r="B41" s="157" t="s">
        <v>108</v>
      </c>
      <c r="C41" s="111"/>
      <c r="D41" s="111"/>
      <c r="E41" s="111"/>
      <c r="F41" s="111"/>
      <c r="G41" s="111"/>
      <c r="H41" s="111"/>
      <c r="I41" s="111"/>
      <c r="J41" s="102"/>
    </row>
    <row r="42" spans="2:10" x14ac:dyDescent="0.2">
      <c r="B42" s="109"/>
      <c r="C42" s="8"/>
      <c r="D42" s="8"/>
      <c r="E42" s="8"/>
      <c r="F42" s="8"/>
      <c r="G42" s="8"/>
      <c r="H42" s="8"/>
      <c r="I42" s="8"/>
      <c r="J42" s="110"/>
    </row>
    <row r="43" spans="2:10" x14ac:dyDescent="0.2">
      <c r="B43" s="153" t="s">
        <v>107</v>
      </c>
      <c r="C43" s="170">
        <v>0</v>
      </c>
      <c r="D43" s="8" t="str">
        <f>Auswerteblatt!$H$5</f>
        <v>in 1000 km</v>
      </c>
      <c r="E43" s="8"/>
      <c r="F43" s="8"/>
      <c r="G43" s="8"/>
      <c r="H43" s="8"/>
      <c r="I43" s="8"/>
      <c r="J43" s="110"/>
    </row>
    <row r="44" spans="2:10" x14ac:dyDescent="0.2">
      <c r="B44" s="109"/>
      <c r="C44" s="8"/>
      <c r="D44" s="8"/>
      <c r="E44" s="8"/>
      <c r="F44" s="8"/>
      <c r="G44" s="8"/>
      <c r="H44" s="8"/>
      <c r="I44" s="8"/>
      <c r="J44" s="110"/>
    </row>
    <row r="45" spans="2:10" ht="15.75" x14ac:dyDescent="0.3">
      <c r="B45" s="153" t="s">
        <v>101</v>
      </c>
      <c r="C45" s="75">
        <f>$C$7*(-LN(0.5))^(1/$C$4)+$C$5</f>
        <v>85.954127419834691</v>
      </c>
      <c r="D45" s="8" t="str">
        <f>Auswerteblatt!$H$5</f>
        <v>in 1000 km</v>
      </c>
      <c r="E45" s="8"/>
      <c r="F45" s="8"/>
      <c r="G45" s="8"/>
      <c r="H45" s="8"/>
      <c r="I45" s="8"/>
      <c r="J45" s="110"/>
    </row>
    <row r="46" spans="2:10" x14ac:dyDescent="0.2">
      <c r="B46" s="109"/>
      <c r="C46" s="8"/>
      <c r="D46" s="8"/>
      <c r="E46" s="8"/>
      <c r="F46" s="8"/>
      <c r="G46" s="8"/>
      <c r="H46" s="8"/>
      <c r="I46" s="8"/>
      <c r="J46" s="110"/>
    </row>
    <row r="47" spans="2:10" ht="15.75" x14ac:dyDescent="0.3">
      <c r="B47" s="153" t="s">
        <v>102</v>
      </c>
      <c r="C47" s="75">
        <f>$C$7*(-LN(0.99865))^(1/$C$4)+$C$5</f>
        <v>18.526328864870631</v>
      </c>
      <c r="D47" s="8" t="str">
        <f>Auswerteblatt!$H$5</f>
        <v>in 1000 km</v>
      </c>
      <c r="E47" s="8"/>
      <c r="F47" s="8"/>
      <c r="G47" s="8"/>
      <c r="H47" s="8"/>
      <c r="I47" s="8"/>
      <c r="J47" s="110"/>
    </row>
    <row r="48" spans="2:10" x14ac:dyDescent="0.2">
      <c r="B48" s="109"/>
      <c r="C48" s="8"/>
      <c r="D48" s="8"/>
      <c r="E48" s="8"/>
      <c r="F48" s="8"/>
      <c r="G48" s="8"/>
      <c r="H48" s="8"/>
      <c r="I48" s="8"/>
      <c r="J48" s="110"/>
    </row>
    <row r="49" spans="2:10" x14ac:dyDescent="0.2">
      <c r="B49" s="109"/>
      <c r="C49" s="8"/>
      <c r="D49" s="8"/>
      <c r="E49" s="8"/>
      <c r="F49" s="8"/>
      <c r="G49" s="8"/>
      <c r="H49" s="8"/>
      <c r="I49" s="8"/>
      <c r="J49" s="110"/>
    </row>
    <row r="50" spans="2:10" ht="15.75" x14ac:dyDescent="0.3">
      <c r="B50" s="159" t="s">
        <v>103</v>
      </c>
      <c r="C50" s="160">
        <f>(C45-C43)/(C45-C47)</f>
        <v>1.2747580265395855</v>
      </c>
      <c r="D50" s="8"/>
      <c r="E50" s="8"/>
      <c r="F50" s="8"/>
      <c r="G50" s="8"/>
      <c r="H50" s="8" t="s">
        <v>99</v>
      </c>
      <c r="I50" s="8"/>
      <c r="J50" s="110"/>
    </row>
    <row r="51" spans="2:10" x14ac:dyDescent="0.2">
      <c r="B51" s="109"/>
      <c r="C51" s="8"/>
      <c r="D51" s="8"/>
      <c r="E51" s="8"/>
      <c r="F51" s="8"/>
      <c r="G51" s="8"/>
      <c r="H51" s="8" t="s">
        <v>100</v>
      </c>
      <c r="I51" s="8"/>
      <c r="J51" s="110"/>
    </row>
    <row r="52" spans="2:10" ht="13.5" thickBot="1" x14ac:dyDescent="0.25">
      <c r="B52" s="103"/>
      <c r="C52" s="112"/>
      <c r="D52" s="112"/>
      <c r="E52" s="112"/>
      <c r="F52" s="112"/>
      <c r="G52" s="112"/>
      <c r="H52" s="112"/>
      <c r="I52" s="112"/>
      <c r="J52" s="104"/>
    </row>
    <row r="54" spans="2:10" ht="13.5" thickBot="1" x14ac:dyDescent="0.25"/>
    <row r="55" spans="2:10" ht="18" x14ac:dyDescent="0.25">
      <c r="B55" s="157" t="s">
        <v>121</v>
      </c>
      <c r="C55" s="111"/>
      <c r="D55" s="111"/>
      <c r="E55" s="111"/>
      <c r="F55" s="111"/>
      <c r="G55" s="111"/>
      <c r="H55" s="111"/>
      <c r="I55" s="111"/>
      <c r="J55" s="102"/>
    </row>
    <row r="56" spans="2:10" x14ac:dyDescent="0.2">
      <c r="B56" s="109"/>
      <c r="C56" s="8"/>
      <c r="D56" s="8"/>
      <c r="E56" s="8"/>
      <c r="F56" s="8"/>
      <c r="G56" s="8"/>
      <c r="H56" s="8"/>
      <c r="I56" s="8"/>
      <c r="J56" s="110"/>
    </row>
    <row r="57" spans="2:10" x14ac:dyDescent="0.2">
      <c r="B57" s="153" t="s">
        <v>109</v>
      </c>
      <c r="C57" s="170">
        <v>0.95</v>
      </c>
      <c r="D57" s="8"/>
      <c r="E57" s="8"/>
      <c r="F57" s="8"/>
      <c r="G57" s="8"/>
      <c r="H57" s="8"/>
      <c r="I57" s="8"/>
      <c r="J57" s="110"/>
    </row>
    <row r="58" spans="2:10" x14ac:dyDescent="0.2">
      <c r="B58" s="109"/>
      <c r="C58" s="8"/>
      <c r="D58" s="8"/>
      <c r="E58" s="8"/>
      <c r="F58" s="8"/>
      <c r="G58" s="8"/>
      <c r="H58" s="8"/>
      <c r="I58" s="8"/>
      <c r="J58" s="110"/>
    </row>
    <row r="59" spans="2:10" ht="15.75" x14ac:dyDescent="0.2">
      <c r="B59" s="163" t="s">
        <v>116</v>
      </c>
      <c r="C59" s="162">
        <f>Auswerteblatt!L4</f>
        <v>-18.477733811996742</v>
      </c>
      <c r="D59" s="8"/>
      <c r="E59" s="8"/>
      <c r="F59" s="8"/>
      <c r="G59" s="8"/>
      <c r="H59" s="8"/>
      <c r="I59" s="8"/>
      <c r="J59" s="110"/>
    </row>
    <row r="60" spans="2:10" ht="15.75" x14ac:dyDescent="0.2">
      <c r="B60" s="163" t="s">
        <v>115</v>
      </c>
      <c r="C60" s="162">
        <f>Auswerteblatt!L5</f>
        <v>4.0664522363325082</v>
      </c>
      <c r="D60" s="8"/>
      <c r="E60" s="8"/>
      <c r="F60" s="8"/>
      <c r="G60" s="8"/>
      <c r="H60" s="8"/>
      <c r="I60" s="8"/>
      <c r="J60" s="110"/>
    </row>
    <row r="61" spans="2:10" ht="15.75" x14ac:dyDescent="0.2">
      <c r="B61" s="163" t="s">
        <v>114</v>
      </c>
      <c r="C61" s="162">
        <f>Auswerteblatt!L6</f>
        <v>0.99825003029037829</v>
      </c>
      <c r="D61" s="8"/>
      <c r="E61" s="8"/>
      <c r="F61" s="8"/>
      <c r="G61" s="8"/>
      <c r="H61" s="8"/>
      <c r="I61" s="8"/>
      <c r="J61" s="110"/>
    </row>
    <row r="62" spans="2:10" ht="15.75" x14ac:dyDescent="0.2">
      <c r="B62" s="163" t="s">
        <v>113</v>
      </c>
      <c r="C62" s="162">
        <f>Auswerteblatt!L7</f>
        <v>8.4855841627224329E-2</v>
      </c>
      <c r="D62" s="8"/>
      <c r="E62" s="8"/>
      <c r="F62" s="8"/>
      <c r="G62" s="8"/>
      <c r="H62" s="8"/>
      <c r="I62" s="8"/>
      <c r="J62" s="110"/>
    </row>
    <row r="63" spans="2:10" ht="15.75" x14ac:dyDescent="0.2">
      <c r="B63" s="163" t="s">
        <v>112</v>
      </c>
      <c r="C63" s="162">
        <f>Auswerteblatt!L8</f>
        <v>11</v>
      </c>
      <c r="D63" s="8"/>
      <c r="E63" s="8"/>
      <c r="F63" s="8"/>
      <c r="G63" s="8"/>
      <c r="H63" s="8"/>
      <c r="I63" s="8"/>
      <c r="J63" s="110"/>
    </row>
    <row r="64" spans="2:10" ht="15.75" x14ac:dyDescent="0.2">
      <c r="B64" s="163" t="s">
        <v>111</v>
      </c>
      <c r="C64" s="162">
        <f>Auswerteblatt!L9</f>
        <v>2.2355451705431904</v>
      </c>
      <c r="D64" s="8"/>
      <c r="E64" s="8"/>
      <c r="F64" s="8"/>
      <c r="G64" s="8"/>
      <c r="H64" s="8"/>
      <c r="I64" s="8"/>
      <c r="J64" s="110"/>
    </row>
    <row r="65" spans="2:10" ht="15.75" x14ac:dyDescent="0.2">
      <c r="B65" s="164" t="s">
        <v>110</v>
      </c>
      <c r="C65" s="162">
        <f>Auswerteblatt!L10</f>
        <v>204.6587898878031</v>
      </c>
      <c r="D65" s="8"/>
      <c r="E65" s="8"/>
      <c r="F65" s="8"/>
      <c r="G65" s="8"/>
      <c r="H65" s="8"/>
      <c r="I65" s="8"/>
      <c r="J65" s="110"/>
    </row>
    <row r="66" spans="2:10" ht="15.75" x14ac:dyDescent="0.2">
      <c r="B66" s="186" t="s">
        <v>142</v>
      </c>
      <c r="C66" s="162">
        <f>Auswerteblatt!L11</f>
        <v>4.2897684268634526</v>
      </c>
      <c r="D66" s="8"/>
      <c r="E66" s="8"/>
      <c r="F66" s="8"/>
      <c r="G66" s="8"/>
      <c r="H66" s="8"/>
      <c r="I66" s="8"/>
      <c r="J66" s="110"/>
    </row>
    <row r="67" spans="2:10" x14ac:dyDescent="0.2">
      <c r="B67" s="109"/>
      <c r="C67" s="8"/>
      <c r="D67" s="8"/>
      <c r="E67" s="8"/>
      <c r="F67" s="8"/>
      <c r="G67" s="8"/>
      <c r="H67" s="8"/>
      <c r="I67" s="8"/>
      <c r="J67" s="110"/>
    </row>
    <row r="68" spans="2:10" ht="15.75" x14ac:dyDescent="0.2">
      <c r="B68" s="163" t="s">
        <v>117</v>
      </c>
      <c r="C68" s="9">
        <f>TINV(1-C57,C63-2)</f>
        <v>2.2621571627982049</v>
      </c>
      <c r="D68" s="8"/>
      <c r="E68" s="8"/>
      <c r="F68" s="8"/>
      <c r="G68" s="8"/>
      <c r="H68" s="8"/>
      <c r="I68" s="8"/>
      <c r="J68" s="110"/>
    </row>
    <row r="69" spans="2:10" x14ac:dyDescent="0.2">
      <c r="B69" s="109"/>
      <c r="C69" s="8"/>
      <c r="D69" s="8"/>
      <c r="E69" s="8"/>
      <c r="F69" s="8"/>
      <c r="G69" s="8"/>
      <c r="H69" s="8"/>
      <c r="I69" s="8"/>
      <c r="J69" s="110"/>
    </row>
    <row r="70" spans="2:10" ht="15.75" x14ac:dyDescent="0.3">
      <c r="B70" s="153" t="s">
        <v>120</v>
      </c>
      <c r="C70" s="8">
        <f>$C$60-$C$68*$C$62/SQRT($C$64)</f>
        <v>3.9380676770218312</v>
      </c>
      <c r="D70" s="74" t="s">
        <v>118</v>
      </c>
      <c r="E70" s="8">
        <f>$C$60+$C$68*$C$62/SQRT($C$64)</f>
        <v>4.1948367956431856</v>
      </c>
      <c r="F70" s="8"/>
      <c r="G70" s="8"/>
      <c r="H70" s="8"/>
      <c r="I70" s="8"/>
      <c r="J70" s="110"/>
    </row>
    <row r="71" spans="2:10" x14ac:dyDescent="0.2">
      <c r="B71" s="153"/>
      <c r="C71" s="8"/>
      <c r="D71" s="74"/>
      <c r="E71" s="8"/>
      <c r="F71" s="8"/>
      <c r="G71" s="8"/>
      <c r="H71" s="8"/>
      <c r="I71" s="8"/>
      <c r="J71" s="110"/>
    </row>
    <row r="72" spans="2:10" x14ac:dyDescent="0.2">
      <c r="B72" s="153" t="s">
        <v>122</v>
      </c>
      <c r="C72" s="166">
        <f>C70</f>
        <v>3.9380676770218312</v>
      </c>
      <c r="D72" s="167" t="s">
        <v>123</v>
      </c>
      <c r="E72" s="168">
        <f>E70</f>
        <v>4.1948367956431856</v>
      </c>
      <c r="F72" s="8"/>
      <c r="G72" s="8"/>
      <c r="H72" s="8"/>
      <c r="I72" s="8"/>
      <c r="J72" s="110"/>
    </row>
    <row r="73" spans="2:10" x14ac:dyDescent="0.2">
      <c r="B73" s="153"/>
      <c r="C73" s="8"/>
      <c r="D73" s="74"/>
      <c r="E73" s="8"/>
      <c r="F73" s="8"/>
      <c r="G73" s="8"/>
      <c r="H73" s="8"/>
      <c r="I73" s="8"/>
      <c r="J73" s="110"/>
    </row>
    <row r="74" spans="2:10" x14ac:dyDescent="0.2">
      <c r="B74" s="153"/>
      <c r="C74" s="8"/>
      <c r="D74" s="74"/>
      <c r="E74" s="8"/>
      <c r="F74" s="8"/>
      <c r="G74" s="8"/>
      <c r="H74" s="8"/>
      <c r="I74" s="8"/>
      <c r="J74" s="110"/>
    </row>
    <row r="75" spans="2:10" ht="15.75" x14ac:dyDescent="0.3">
      <c r="B75" s="153" t="s">
        <v>143</v>
      </c>
      <c r="C75">
        <f>-E75</f>
        <v>-6.6442814054366403E-2</v>
      </c>
      <c r="D75" s="74" t="s">
        <v>146</v>
      </c>
      <c r="E75" s="8">
        <f>C68*C62*SQRT(1/C63+(LN(C6-C5)-C66)^2/C64)</f>
        <v>6.6442814054366403E-2</v>
      </c>
      <c r="F75" s="8"/>
      <c r="G75" s="8"/>
      <c r="H75" s="8"/>
      <c r="I75" s="8"/>
      <c r="J75" s="110"/>
    </row>
    <row r="76" spans="2:10" x14ac:dyDescent="0.2">
      <c r="B76" s="153"/>
      <c r="C76" s="8">
        <f>1-EXP(-EXP(C75))</f>
        <v>0.6076952917394709</v>
      </c>
      <c r="D76" s="74" t="s">
        <v>144</v>
      </c>
      <c r="E76" s="8">
        <f>1-EXP(-EXP(E75))</f>
        <v>0.65654522923825398</v>
      </c>
      <c r="F76" s="8"/>
      <c r="G76" s="8"/>
      <c r="H76" s="8"/>
      <c r="I76" s="8"/>
      <c r="J76" s="110"/>
    </row>
    <row r="77" spans="2:10" x14ac:dyDescent="0.2">
      <c r="B77" s="153"/>
      <c r="C77" s="8">
        <f>1-E76</f>
        <v>0.34345477076174602</v>
      </c>
      <c r="D77" s="74" t="s">
        <v>145</v>
      </c>
      <c r="E77" s="8">
        <f>1-C76</f>
        <v>0.3923047082605291</v>
      </c>
      <c r="F77" s="8"/>
      <c r="G77" s="8"/>
      <c r="H77" s="8"/>
      <c r="I77" s="8"/>
      <c r="J77" s="110"/>
    </row>
    <row r="78" spans="2:10" x14ac:dyDescent="0.2">
      <c r="B78" s="153"/>
      <c r="C78" s="8"/>
      <c r="D78" s="74"/>
      <c r="F78" s="8"/>
      <c r="G78" s="8"/>
      <c r="H78" s="8"/>
      <c r="I78" s="8"/>
      <c r="J78" s="110"/>
    </row>
    <row r="79" spans="2:10" ht="14.25" x14ac:dyDescent="0.25">
      <c r="B79" s="184" t="s">
        <v>147</v>
      </c>
      <c r="C79" s="8"/>
      <c r="D79" s="8"/>
      <c r="F79" s="8"/>
      <c r="G79" s="8"/>
      <c r="H79" s="8"/>
      <c r="I79" s="8"/>
      <c r="J79" s="110"/>
    </row>
    <row r="80" spans="2:10" x14ac:dyDescent="0.2">
      <c r="B80" s="153" t="s">
        <v>119</v>
      </c>
      <c r="C80" s="188">
        <f>$C$7/(-LN(C77)^(1/$C$4))+$C$5</f>
        <v>92.536704748600357</v>
      </c>
      <c r="D80" s="165" t="s">
        <v>124</v>
      </c>
      <c r="E80" s="189">
        <f>$C$7/(-LN(E77)^(1/$C$4))+$C$5</f>
        <v>95.610618952627206</v>
      </c>
      <c r="F80" s="8" t="str">
        <f>Auswerteblatt!$H$5</f>
        <v>in 1000 km</v>
      </c>
      <c r="G80" s="8"/>
      <c r="H80" s="8"/>
      <c r="I80" s="8"/>
      <c r="J80" s="110"/>
    </row>
    <row r="81" spans="2:10" x14ac:dyDescent="0.2">
      <c r="B81" s="153"/>
      <c r="C81" s="190"/>
      <c r="D81" s="191"/>
      <c r="E81" s="192"/>
      <c r="F81" s="8"/>
      <c r="G81" s="8"/>
      <c r="H81" s="8"/>
      <c r="I81" s="8"/>
      <c r="J81" s="110"/>
    </row>
    <row r="82" spans="2:10" x14ac:dyDescent="0.2">
      <c r="B82" s="153"/>
      <c r="C82" s="190"/>
      <c r="D82" s="191"/>
      <c r="E82" s="192"/>
      <c r="F82" s="8"/>
      <c r="G82" s="8"/>
      <c r="H82" s="8"/>
      <c r="I82" s="8"/>
      <c r="J82" s="110"/>
    </row>
    <row r="83" spans="2:10" x14ac:dyDescent="0.2">
      <c r="B83" s="184" t="s">
        <v>153</v>
      </c>
      <c r="C83" s="8"/>
      <c r="D83" s="8"/>
      <c r="E83" s="8"/>
      <c r="F83" s="8"/>
      <c r="G83" s="8"/>
      <c r="H83" s="8"/>
      <c r="I83" s="8"/>
      <c r="J83" s="110"/>
    </row>
    <row r="84" spans="2:10" x14ac:dyDescent="0.2">
      <c r="B84" s="193" t="s">
        <v>148</v>
      </c>
      <c r="C84" s="8"/>
      <c r="D84" s="8" t="s">
        <v>127</v>
      </c>
      <c r="E84" s="8" t="s">
        <v>139</v>
      </c>
      <c r="F84" s="8"/>
      <c r="G84" s="8"/>
      <c r="H84" s="8"/>
      <c r="I84" s="8"/>
      <c r="J84" s="110"/>
    </row>
    <row r="85" spans="2:10" ht="15.75" x14ac:dyDescent="0.3">
      <c r="B85" s="153" t="s">
        <v>149</v>
      </c>
      <c r="C85" s="194">
        <v>95.635837535184166</v>
      </c>
      <c r="D85" s="8">
        <f>LN(C85-$C$5)</f>
        <v>4.5605476194261936</v>
      </c>
      <c r="E85" s="8">
        <f>$C$59+C$60*D85</f>
        <v>6.7515253919797402E-2</v>
      </c>
      <c r="F85" s="187">
        <f>E85-$C$68*$C$62*SQRT(1/$C$63+(D85-$C$66)^2/$C$64)</f>
        <v>1.8617314523350359E-8</v>
      </c>
      <c r="G85" s="152" t="s">
        <v>152</v>
      </c>
      <c r="H85" s="8"/>
      <c r="I85" s="8"/>
      <c r="J85" s="110"/>
    </row>
    <row r="86" spans="2:10" x14ac:dyDescent="0.2">
      <c r="B86" s="109"/>
      <c r="C86" s="8"/>
      <c r="D86" s="8"/>
      <c r="E86" s="8"/>
      <c r="F86" s="8"/>
      <c r="G86" s="8"/>
      <c r="H86" s="8"/>
      <c r="I86" s="8"/>
      <c r="J86" s="110"/>
    </row>
    <row r="87" spans="2:10" ht="15.75" x14ac:dyDescent="0.3">
      <c r="B87" s="153" t="s">
        <v>150</v>
      </c>
      <c r="C87" s="194">
        <v>92.55923989411518</v>
      </c>
      <c r="D87" s="8">
        <f>LN(C87-$C$5)</f>
        <v>4.5278488708175102</v>
      </c>
      <c r="E87" s="8">
        <f>$C$59+C$60*D87</f>
        <v>-6.545264548525509E-2</v>
      </c>
      <c r="F87" s="187">
        <f>E87+$C$68*$C$62*SQRT(1/$C$63+(D87-$C$66)^2/$C$64)</f>
        <v>2.3596268106107487E-8</v>
      </c>
      <c r="G87" s="152" t="s">
        <v>151</v>
      </c>
      <c r="H87" s="8"/>
      <c r="I87" s="8"/>
      <c r="J87" s="110"/>
    </row>
    <row r="88" spans="2:10" x14ac:dyDescent="0.2">
      <c r="B88" s="109"/>
      <c r="C88" s="8"/>
      <c r="D88" s="8"/>
      <c r="E88" s="8"/>
      <c r="F88" s="8"/>
      <c r="G88" s="8"/>
      <c r="H88" s="8"/>
      <c r="I88" s="8"/>
      <c r="J88" s="110"/>
    </row>
    <row r="89" spans="2:10" x14ac:dyDescent="0.2">
      <c r="B89" s="109"/>
      <c r="J89" s="110"/>
    </row>
    <row r="90" spans="2:10" x14ac:dyDescent="0.2">
      <c r="B90" s="109"/>
      <c r="C90" s="8"/>
      <c r="D90" s="8"/>
      <c r="E90" s="8"/>
      <c r="F90" s="8"/>
      <c r="G90" s="8"/>
      <c r="H90" s="8"/>
      <c r="I90" s="8"/>
      <c r="J90" s="110"/>
    </row>
    <row r="91" spans="2:10" x14ac:dyDescent="0.2">
      <c r="B91" s="109"/>
      <c r="C91" s="169" t="str">
        <f>IF(C5&lt;&gt;0,"Achtung: Im dreiparametrigen Fall ist der Vertrauensbereich mit Vorsicht zu interpretieren,","")</f>
        <v/>
      </c>
      <c r="D91" s="8"/>
      <c r="E91" s="8"/>
      <c r="F91" s="8"/>
      <c r="G91" s="8"/>
      <c r="H91" s="8"/>
      <c r="I91" s="8"/>
      <c r="J91" s="110"/>
    </row>
    <row r="92" spans="2:10" x14ac:dyDescent="0.2">
      <c r="B92" s="109"/>
      <c r="C92" s="169" t="str">
        <f>IF(C5&lt;&gt;0,"da die Unsicherheit der Schätzung der ausfallfreien Zeit nicht in die Rechnung eingeht!","")</f>
        <v/>
      </c>
      <c r="D92" s="8"/>
      <c r="E92" s="8"/>
      <c r="F92" s="8"/>
      <c r="G92" s="8"/>
      <c r="H92" s="8"/>
      <c r="I92" s="8"/>
      <c r="J92" s="110"/>
    </row>
    <row r="93" spans="2:10" ht="13.5" thickBot="1" x14ac:dyDescent="0.25">
      <c r="B93" s="103"/>
      <c r="C93" s="112"/>
      <c r="D93" s="112"/>
      <c r="E93" s="112"/>
      <c r="F93" s="112"/>
      <c r="G93" s="112"/>
      <c r="H93" s="112"/>
      <c r="I93" s="112"/>
      <c r="J93" s="104"/>
    </row>
  </sheetData>
  <sheetProtection sheet="1" objects="1" scenarios="1"/>
  <phoneticPr fontId="0" type="noConversion"/>
  <dataValidations count="5">
    <dataValidation type="whole" operator="greaterThanOrEqual" allowBlank="1" showInputMessage="1" showErrorMessage="1" errorTitle="Gültigkeitsprüfung:" error="Die Zahl der Systemkomponenten muss eine ganze Zahl &gt;= 1 sein!" sqref="C23">
      <formula1>1</formula1>
    </dataValidation>
    <dataValidation type="whole" allowBlank="1" showInputMessage="1" showErrorMessage="1" errorTitle="Gültigkeitsprüfung:" error="Die Zahl ausgefallener Einheiten muss eine ganze Zahl zwischen null und n sein!" sqref="C24">
      <formula1>0</formula1>
      <formula2>C23</formula2>
    </dataValidation>
    <dataValidation type="decimal" allowBlank="1" showInputMessage="1" showErrorMessage="1" errorTitle="Gültigkeitsprüfung" error="Die Überlebenswahrscheinlichkeit muss eine Dezimalzahl 0 &lt; R(t) &lt; 1 sein!" sqref="C35">
      <formula1>0</formula1>
      <formula2>1</formula2>
    </dataValidation>
    <dataValidation type="decimal" allowBlank="1" showInputMessage="1" showErrorMessage="1" errorTitle="Gültigkeitsprüfung" error="Das Vertrauensniveau muss eine Dezimalzahl 0,5 &lt; (1-alpha) &lt; 1 sein." sqref="C57">
      <formula1>0.5</formula1>
      <formula2>1</formula2>
    </dataValidation>
    <dataValidation type="decimal" operator="greaterThanOrEqual" allowBlank="1" showInputMessage="1" showErrorMessage="1" errorTitle="Gültigkeitsprüfung:" error="Die untere Spezifikationsgrenze muss eine Dezimalzahl USG &gt;= 0 sein." sqref="C43">
      <formula1>0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101" r:id="rId4">
          <objectPr defaultSize="0" r:id="rId5">
            <anchor moveWithCells="1">
              <from>
                <xdr:col>5</xdr:col>
                <xdr:colOff>19050</xdr:colOff>
                <xdr:row>10</xdr:row>
                <xdr:rowOff>133350</xdr:rowOff>
              </from>
              <to>
                <xdr:col>6</xdr:col>
                <xdr:colOff>447675</xdr:colOff>
                <xdr:row>13</xdr:row>
                <xdr:rowOff>152400</xdr:rowOff>
              </to>
            </anchor>
          </objectPr>
        </oleObject>
      </mc:Choice>
      <mc:Fallback>
        <oleObject progId="Equation.3" shapeId="4101" r:id="rId4"/>
      </mc:Fallback>
    </mc:AlternateContent>
    <mc:AlternateContent xmlns:mc="http://schemas.openxmlformats.org/markup-compatibility/2006">
      <mc:Choice Requires="x14">
        <oleObject progId="Equation.3" shapeId="4102" r:id="rId6">
          <objectPr defaultSize="0" r:id="rId7">
            <anchor moveWithCells="1">
              <from>
                <xdr:col>5</xdr:col>
                <xdr:colOff>19050</xdr:colOff>
                <xdr:row>14</xdr:row>
                <xdr:rowOff>142875</xdr:rowOff>
              </from>
              <to>
                <xdr:col>6</xdr:col>
                <xdr:colOff>47625</xdr:colOff>
                <xdr:row>16</xdr:row>
                <xdr:rowOff>47625</xdr:rowOff>
              </to>
            </anchor>
          </objectPr>
        </oleObject>
      </mc:Choice>
      <mc:Fallback>
        <oleObject progId="Equation.3" shapeId="4102" r:id="rId6"/>
      </mc:Fallback>
    </mc:AlternateContent>
    <mc:AlternateContent xmlns:mc="http://schemas.openxmlformats.org/markup-compatibility/2006">
      <mc:Choice Requires="x14">
        <oleObject progId="Equation.3" shapeId="4103" r:id="rId8">
          <objectPr defaultSize="0" r:id="rId9">
            <anchor moveWithCells="1">
              <from>
                <xdr:col>8</xdr:col>
                <xdr:colOff>9525</xdr:colOff>
                <xdr:row>12</xdr:row>
                <xdr:rowOff>142875</xdr:rowOff>
              </from>
              <to>
                <xdr:col>8</xdr:col>
                <xdr:colOff>733425</xdr:colOff>
                <xdr:row>14</xdr:row>
                <xdr:rowOff>85725</xdr:rowOff>
              </to>
            </anchor>
          </objectPr>
        </oleObject>
      </mc:Choice>
      <mc:Fallback>
        <oleObject progId="Equation.3" shapeId="4103" r:id="rId8"/>
      </mc:Fallback>
    </mc:AlternateContent>
    <mc:AlternateContent xmlns:mc="http://schemas.openxmlformats.org/markup-compatibility/2006">
      <mc:Choice Requires="x14">
        <oleObject progId="Equation.3" shapeId="4104" r:id="rId10">
          <objectPr defaultSize="0" r:id="rId11">
            <anchor moveWithCells="1">
              <from>
                <xdr:col>5</xdr:col>
                <xdr:colOff>28575</xdr:colOff>
                <xdr:row>16</xdr:row>
                <xdr:rowOff>114300</xdr:rowOff>
              </from>
              <to>
                <xdr:col>7</xdr:col>
                <xdr:colOff>304800</xdr:colOff>
                <xdr:row>19</xdr:row>
                <xdr:rowOff>133350</xdr:rowOff>
              </to>
            </anchor>
          </objectPr>
        </oleObject>
      </mc:Choice>
      <mc:Fallback>
        <oleObject progId="Equation.3" shapeId="4104" r:id="rId10"/>
      </mc:Fallback>
    </mc:AlternateContent>
    <mc:AlternateContent xmlns:mc="http://schemas.openxmlformats.org/markup-compatibility/2006">
      <mc:Choice Requires="x14">
        <oleObject progId="Equation.3" shapeId="4105" r:id="rId12">
          <objectPr defaultSize="0" r:id="rId13">
            <anchor moveWithCells="1">
              <from>
                <xdr:col>8</xdr:col>
                <xdr:colOff>38100</xdr:colOff>
                <xdr:row>17</xdr:row>
                <xdr:rowOff>133350</xdr:rowOff>
              </from>
              <to>
                <xdr:col>9</xdr:col>
                <xdr:colOff>9525</xdr:colOff>
                <xdr:row>19</xdr:row>
                <xdr:rowOff>76200</xdr:rowOff>
              </to>
            </anchor>
          </objectPr>
        </oleObject>
      </mc:Choice>
      <mc:Fallback>
        <oleObject progId="Equation.3" shapeId="4105" r:id="rId12"/>
      </mc:Fallback>
    </mc:AlternateContent>
    <mc:AlternateContent xmlns:mc="http://schemas.openxmlformats.org/markup-compatibility/2006">
      <mc:Choice Requires="x14">
        <oleObject progId="Equation.3" shapeId="4107" r:id="rId14">
          <objectPr defaultSize="0" r:id="rId15">
            <anchor moveWithCells="1">
              <from>
                <xdr:col>5</xdr:col>
                <xdr:colOff>19050</xdr:colOff>
                <xdr:row>25</xdr:row>
                <xdr:rowOff>152400</xdr:rowOff>
              </from>
              <to>
                <xdr:col>6</xdr:col>
                <xdr:colOff>714375</xdr:colOff>
                <xdr:row>27</xdr:row>
                <xdr:rowOff>28575</xdr:rowOff>
              </to>
            </anchor>
          </objectPr>
        </oleObject>
      </mc:Choice>
      <mc:Fallback>
        <oleObject progId="Equation.3" shapeId="4107" r:id="rId14"/>
      </mc:Fallback>
    </mc:AlternateContent>
    <mc:AlternateContent xmlns:mc="http://schemas.openxmlformats.org/markup-compatibility/2006">
      <mc:Choice Requires="x14">
        <oleObject progId="Equation.3" shapeId="4108" r:id="rId16">
          <objectPr defaultSize="0" r:id="rId17">
            <anchor moveWithCells="1">
              <from>
                <xdr:col>5</xdr:col>
                <xdr:colOff>9525</xdr:colOff>
                <xdr:row>48</xdr:row>
                <xdr:rowOff>9525</xdr:rowOff>
              </from>
              <to>
                <xdr:col>6</xdr:col>
                <xdr:colOff>381000</xdr:colOff>
                <xdr:row>50</xdr:row>
                <xdr:rowOff>114300</xdr:rowOff>
              </to>
            </anchor>
          </objectPr>
        </oleObject>
      </mc:Choice>
      <mc:Fallback>
        <oleObject progId="Equation.3" shapeId="4108" r:id="rId16"/>
      </mc:Fallback>
    </mc:AlternateContent>
    <mc:AlternateContent xmlns:mc="http://schemas.openxmlformats.org/markup-compatibility/2006">
      <mc:Choice Requires="x14">
        <oleObject progId="Equation.3" shapeId="4109" r:id="rId18">
          <objectPr defaultSize="0" r:id="rId19">
            <anchor moveWithCells="1">
              <from>
                <xdr:col>5</xdr:col>
                <xdr:colOff>19050</xdr:colOff>
                <xdr:row>35</xdr:row>
                <xdr:rowOff>95250</xdr:rowOff>
              </from>
              <to>
                <xdr:col>6</xdr:col>
                <xdr:colOff>695325</xdr:colOff>
                <xdr:row>37</xdr:row>
                <xdr:rowOff>38100</xdr:rowOff>
              </to>
            </anchor>
          </objectPr>
        </oleObject>
      </mc:Choice>
      <mc:Fallback>
        <oleObject progId="Equation.3" shapeId="4109" r:id="rId18"/>
      </mc:Fallback>
    </mc:AlternateContent>
    <mc:AlternateContent xmlns:mc="http://schemas.openxmlformats.org/markup-compatibility/2006">
      <mc:Choice Requires="x14">
        <oleObject progId="Equation.3" shapeId="4113" r:id="rId20">
          <objectPr defaultSize="0" r:id="rId21">
            <anchor moveWithCells="1">
              <from>
                <xdr:col>5</xdr:col>
                <xdr:colOff>152400</xdr:colOff>
                <xdr:row>68</xdr:row>
                <xdr:rowOff>76200</xdr:rowOff>
              </from>
              <to>
                <xdr:col>8</xdr:col>
                <xdr:colOff>409575</xdr:colOff>
                <xdr:row>70</xdr:row>
                <xdr:rowOff>123825</xdr:rowOff>
              </to>
            </anchor>
          </objectPr>
        </oleObject>
      </mc:Choice>
      <mc:Fallback>
        <oleObject progId="Equation.3" shapeId="4113" r:id="rId20"/>
      </mc:Fallback>
    </mc:AlternateContent>
    <mc:AlternateContent xmlns:mc="http://schemas.openxmlformats.org/markup-compatibility/2006">
      <mc:Choice Requires="x14">
        <oleObject progId="Equation.3" shapeId="4114" r:id="rId22">
          <objectPr defaultSize="0" r:id="rId23">
            <anchor moveWithCells="1">
              <from>
                <xdr:col>6</xdr:col>
                <xdr:colOff>57150</xdr:colOff>
                <xdr:row>70</xdr:row>
                <xdr:rowOff>142875</xdr:rowOff>
              </from>
              <to>
                <xdr:col>8</xdr:col>
                <xdr:colOff>95250</xdr:colOff>
                <xdr:row>72</xdr:row>
                <xdr:rowOff>47625</xdr:rowOff>
              </to>
            </anchor>
          </objectPr>
        </oleObject>
      </mc:Choice>
      <mc:Fallback>
        <oleObject progId="Equation.3" shapeId="4114" r:id="rId22"/>
      </mc:Fallback>
    </mc:AlternateContent>
    <mc:AlternateContent xmlns:mc="http://schemas.openxmlformats.org/markup-compatibility/2006">
      <mc:Choice Requires="x14">
        <oleObject progId="Equation.3" shapeId="4115" r:id="rId24">
          <objectPr defaultSize="0" r:id="rId25">
            <anchor moveWithCells="1">
              <from>
                <xdr:col>6</xdr:col>
                <xdr:colOff>142875</xdr:colOff>
                <xdr:row>78</xdr:row>
                <xdr:rowOff>57150</xdr:rowOff>
              </from>
              <to>
                <xdr:col>9</xdr:col>
                <xdr:colOff>57150</xdr:colOff>
                <xdr:row>81</xdr:row>
                <xdr:rowOff>9525</xdr:rowOff>
              </to>
            </anchor>
          </objectPr>
        </oleObject>
      </mc:Choice>
      <mc:Fallback>
        <oleObject progId="Equation.3" shapeId="4115" r:id="rId24"/>
      </mc:Fallback>
    </mc:AlternateContent>
    <mc:AlternateContent xmlns:mc="http://schemas.openxmlformats.org/markup-compatibility/2006">
      <mc:Choice Requires="x14">
        <oleObject progId="Equation.3" shapeId="4118" r:id="rId26">
          <objectPr defaultSize="0" r:id="rId27">
            <anchor moveWithCells="1">
              <from>
                <xdr:col>5</xdr:col>
                <xdr:colOff>152400</xdr:colOff>
                <xdr:row>72</xdr:row>
                <xdr:rowOff>85725</xdr:rowOff>
              </from>
              <to>
                <xdr:col>9</xdr:col>
                <xdr:colOff>533400</xdr:colOff>
                <xdr:row>75</xdr:row>
                <xdr:rowOff>123825</xdr:rowOff>
              </to>
            </anchor>
          </objectPr>
        </oleObject>
      </mc:Choice>
      <mc:Fallback>
        <oleObject progId="Equation.3" shapeId="4118" r:id="rId26"/>
      </mc:Fallback>
    </mc:AlternateContent>
    <mc:AlternateContent xmlns:mc="http://schemas.openxmlformats.org/markup-compatibility/2006">
      <mc:Choice Requires="x14">
        <oleObject progId="Equation.3" shapeId="4127" r:id="rId28">
          <objectPr defaultSize="0" r:id="rId29">
            <anchor moveWithCells="1">
              <from>
                <xdr:col>5</xdr:col>
                <xdr:colOff>161925</xdr:colOff>
                <xdr:row>75</xdr:row>
                <xdr:rowOff>142875</xdr:rowOff>
              </from>
              <to>
                <xdr:col>8</xdr:col>
                <xdr:colOff>133350</xdr:colOff>
                <xdr:row>77</xdr:row>
                <xdr:rowOff>38100</xdr:rowOff>
              </to>
            </anchor>
          </objectPr>
        </oleObject>
      </mc:Choice>
      <mc:Fallback>
        <oleObject progId="Equation.3" shapeId="4127" r:id="rId2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Daten</vt:lpstr>
      <vt:lpstr>Auswerteblatt</vt:lpstr>
      <vt:lpstr>LN-Transfer</vt:lpstr>
      <vt:lpstr>R(t) Cpk VB</vt:lpstr>
      <vt:lpstr>Lebensdauernetz</vt:lpstr>
      <vt:lpstr>Auswerteblatt!Druckbereich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Weibull-Auswertung für klassierte Werte</dc:title>
  <dc:creator>Elmar Hillel</dc:creator>
  <cp:lastModifiedBy>Hillel</cp:lastModifiedBy>
  <cp:lastPrinted>2006-12-22T02:16:15Z</cp:lastPrinted>
  <dcterms:created xsi:type="dcterms:W3CDTF">1999-07-15T14:15:42Z</dcterms:created>
  <dcterms:modified xsi:type="dcterms:W3CDTF">2020-05-18T15:01:56Z</dcterms:modified>
</cp:coreProperties>
</file>